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_P&amp;L" sheetId="1" state="visible" r:id="rId3"/>
    <sheet name="All" sheetId="2" state="visible" r:id="rId4"/>
    <sheet name="Non-Peak" sheetId="3" state="visible" r:id="rId5"/>
    <sheet name="Peak" sheetId="4" state="visible" r:id="rId6"/>
    <sheet name="external_curves" sheetId="5" state="visible" r:id="rId7"/>
    <sheet name="Trades" sheetId="6" state="visible" r:id="rId8"/>
    <sheet name="Sheet2" sheetId="7" state="visible" r:id="rId9"/>
    <sheet name="ROM_hrs" sheetId="8" state="visible" r:id="rId10"/>
    <sheet name="hourly_curves" sheetId="9" state="visible" r:id="rId11"/>
    <sheet name="Alberta Curve" sheetId="10" state="visible" r:id="rId12"/>
    <sheet name="Fwd_curves" sheetId="11" state="visible" r:id="rId13"/>
    <sheet name="swap_model" sheetId="12" state="visible" r:id="rId14"/>
    <sheet name="H-rate_model" sheetId="13" state="visible" r:id="rId15"/>
    <sheet name="ab_gas_deal" sheetId="14" state="visible" r:id="rId16"/>
    <sheet name="PJM_deal" sheetId="15" state="visible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4" name="_xlnm.Print_Area" vbProcedure="false">external_curves!$A$8:$E$37</definedName>
    <definedName function="false" hidden="false" localSheetId="10" name="_xlnm.Print_Area" vbProcedure="false">Fwd_curves!$A$2:$K$85</definedName>
    <definedName function="false" hidden="false" localSheetId="11" name="_xlnm.Print_Area" vbProcedure="false">swap_model!$A$2:$I$36</definedName>
    <definedName function="false" hidden="false" localSheetId="5" name="_xlnm.Print_Area" vbProcedure="false">Trades!$A$21:$AD$58</definedName>
    <definedName function="false" hidden="false" name="BasisTable" vbProcedure="false">'Alberta Curve'!$AR$13:$AT$19</definedName>
    <definedName function="false" hidden="false" name="BigTable" vbProcedure="false">'Alberta Curve'!$M$9:$U$92</definedName>
    <definedName function="false" hidden="false" name="DailyScalarsTable" vbProcedure="false">'Alberta Curve'!$AB$7:$AL$7</definedName>
    <definedName function="false" hidden="false" name="DateToday" vbProcedure="false">[2]MAIN!$C$2</definedName>
    <definedName function="false" hidden="false" name="GasBasis" vbProcedure="false">[2]MAIN!$C$31</definedName>
    <definedName function="false" hidden="false" name="GasFirstMonth" vbProcedure="false">#REF!</definedName>
    <definedName function="false" hidden="false" name="GasPriceCurve" vbProcedure="false">[2]MAIN!$AZ$29</definedName>
    <definedName function="false" hidden="false" name="GasTable" vbProcedure="false">#REF!</definedName>
    <definedName function="false" hidden="false" name="GasTransportPercent" vbProcedure="false">[2]MAIN!$C$34</definedName>
    <definedName function="false" hidden="false" name="GasVolAsPercentOfNYMEX" vbProcedure="false">[2]MAIN!$F$32</definedName>
    <definedName function="false" hidden="false" name="GasVolCurve" vbProcedure="false">[2]MAIN!$AZ$30</definedName>
    <definedName function="false" hidden="false" name="GasVolOver" vbProcedure="false">[2]MAIN!$F$34</definedName>
    <definedName function="false" hidden="false" name="GasVolSpread" vbProcedure="false">[2]MAIN!$F$33</definedName>
    <definedName function="false" hidden="false" name="HeatRateOffPeak" vbProcedure="false">HeatRatePeak*[2]MAIN!$I$29</definedName>
    <definedName function="false" hidden="false" name="HeatRatePeak" vbProcedure="false">[2]MAIN!$I$28</definedName>
    <definedName function="false" hidden="false" name="IRFirstMonth" vbProcedure="false">'Alberta Curve'!$A$3</definedName>
    <definedName function="false" hidden="false" name="IRTable" vbProcedure="false">'Alberta Curve'!$A$3:$B$46</definedName>
    <definedName function="false" hidden="false" name="OBuySell" vbProcedure="false">[2]MAIN!$AZ$15</definedName>
    <definedName function="false" hidden="false" name="OCallPut" vbProcedure="false">[2]MAIN!$AZ$16</definedName>
    <definedName function="false" hidden="false" name="OVolType" vbProcedure="false">[2]MAIN!$AZ$19</definedName>
    <definedName function="false" hidden="false" name="PeakEnd" vbProcedure="false">#REF!</definedName>
    <definedName function="false" hidden="false" name="PeakStart" vbProcedure="false">#REF!</definedName>
    <definedName function="false" hidden="false" name="PositionBasis" vbProcedure="false">'Alberta Curve'!$AR$4</definedName>
    <definedName function="false" hidden="false" name="PositionRegion" vbProcedure="false">'Alberta Curve'!$D$3</definedName>
    <definedName function="false" hidden="false" name="PriceTable" vbProcedure="false">'Alberta Curve'!$D$40:$K$46</definedName>
    <definedName function="false" hidden="false" name="SpreadOptGasMargin" vbProcedure="false">[2]MAIN!$C$32+[2]MAIN!$C$33</definedName>
    <definedName function="false" hidden="false" name="SpreadOptPowerMargin" vbProcedure="false">[2]MAIN!$I$30+[2]MAIN!$I$31</definedName>
    <definedName function="false" hidden="false" name="VolSmileBook" vbProcedure="false">'Alberta Curve'!$W$10:$Y$19</definedName>
    <definedName function="false" hidden="false" name="VolSmileModel" vbProcedure="false">'Alberta Curve'!$AO$5:$AP$25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<sst xmlns="http://schemas.openxmlformats.org/spreadsheetml/2006/main" count="1038" uniqueCount="423">
  <si>
    <t xml:space="preserve">Summary P&amp;L </t>
  </si>
  <si>
    <t xml:space="preserve">Enron Canada Power Book</t>
  </si>
  <si>
    <t xml:space="preserve">Date</t>
  </si>
  <si>
    <t xml:space="preserve">P&amp;L</t>
  </si>
  <si>
    <t xml:space="preserve">Mark to Market (MTM)</t>
  </si>
  <si>
    <t xml:space="preserve">Less: Origination Grant</t>
  </si>
  <si>
    <t xml:space="preserve">Power Book MTM</t>
  </si>
  <si>
    <t xml:space="preserve">Previous Day MTM</t>
  </si>
  <si>
    <t xml:space="preserve">Change in Power Book MTM</t>
  </si>
  <si>
    <t xml:space="preserve">Estimated Current Day Liquidation</t>
  </si>
  <si>
    <t xml:space="preserve">"True-up" (yesterday actual less estimate)</t>
  </si>
  <si>
    <t xml:space="preserve">(includes Friday &amp; weekend)</t>
  </si>
  <si>
    <t xml:space="preserve">P &amp; L</t>
  </si>
  <si>
    <t xml:space="preserve">ref_dt</t>
  </si>
  <si>
    <t xml:space="preserve">Book_ID</t>
  </si>
  <si>
    <t xml:space="preserve">book_type_cd</t>
  </si>
  <si>
    <t xml:space="preserve">reg_cd</t>
  </si>
  <si>
    <t xml:space="preserve">instr</t>
  </si>
  <si>
    <t xml:space="preserve">commodity</t>
  </si>
  <si>
    <t xml:space="preserve">F/P</t>
  </si>
  <si>
    <t xml:space="preserve">Location</t>
  </si>
  <si>
    <t xml:space="preserve">E/O</t>
  </si>
  <si>
    <t xml:space="preserve">ctrparty_cd</t>
  </si>
  <si>
    <t xml:space="preserve">Delta</t>
  </si>
  <si>
    <t xml:space="preserve">Gamma</t>
  </si>
  <si>
    <t xml:space="preserve">Gross_pos</t>
  </si>
  <si>
    <t xml:space="preserve">Crv_shift</t>
  </si>
  <si>
    <t xml:space="preserve">Baseline P/L</t>
  </si>
  <si>
    <t xml:space="preserve">Peakness</t>
  </si>
  <si>
    <t xml:space="preserve">FT-CAN-PWRF-HDGI-PRC</t>
  </si>
  <si>
    <t xml:space="preserve">P</t>
  </si>
  <si>
    <t xml:space="preserve">DESK</t>
  </si>
  <si>
    <t xml:space="preserve">S</t>
  </si>
  <si>
    <t xml:space="preserve">PWR</t>
  </si>
  <si>
    <t xml:space="preserve">R9</t>
  </si>
  <si>
    <t xml:space="preserve">E</t>
  </si>
  <si>
    <t xml:space="preserve">PWRCAN</t>
  </si>
  <si>
    <t xml:space="preserve">O</t>
  </si>
  <si>
    <t xml:space="preserve">PRICE CURVES</t>
  </si>
  <si>
    <t xml:space="preserve">Current Date</t>
  </si>
  <si>
    <t xml:space="preserve">Mid Columbia</t>
  </si>
  <si>
    <t xml:space="preserve">AECO </t>
  </si>
  <si>
    <t xml:space="preserve">F/X</t>
  </si>
  <si>
    <t xml:space="preserve">CAD BA</t>
  </si>
  <si>
    <t xml:space="preserve">Discount Factor</t>
  </si>
  <si>
    <t xml:space="preserve"> </t>
  </si>
  <si>
    <t xml:space="preserve">Mid- Columbia</t>
  </si>
  <si>
    <t xml:space="preserve">Peak</t>
  </si>
  <si>
    <t xml:space="preserve">Off-Peak</t>
  </si>
  <si>
    <t xml:space="preserve">inputs</t>
  </si>
  <si>
    <t xml:space="preserve">Calculations</t>
  </si>
  <si>
    <t xml:space="preserve">Mid - C Convention</t>
  </si>
  <si>
    <t xml:space="preserve">Alberta Conventions</t>
  </si>
  <si>
    <t xml:space="preserve">Peak 5 X 16
$US/MWh</t>
  </si>
  <si>
    <t xml:space="preserve">Off-Peak 7 X 8
$US/MWh</t>
  </si>
  <si>
    <t xml:space="preserve">Saturday 1 X 16
$US/MWh</t>
  </si>
  <si>
    <t xml:space="preserve">Sunday 1 X 16
$US/MWh</t>
  </si>
  <si>
    <t xml:space="preserve">Off-Peak  6 X 8 + 24
$US/MWh</t>
  </si>
  <si>
    <t xml:space="preserve">Flat Price
$US/MWh</t>
  </si>
  <si>
    <t xml:space="preserve">Flat Price - chk</t>
  </si>
  <si>
    <t xml:space="preserve">Flat Price -
chk</t>
  </si>
  <si>
    <t xml:space="preserve">C$ per GJ</t>
  </si>
  <si>
    <t xml:space="preserve">Peak 6 X 16
$C/MWh</t>
  </si>
  <si>
    <t xml:space="preserve">Off-Peak 7 X 8
$C/MWh</t>
  </si>
  <si>
    <t xml:space="preserve">Flat Price
$C/MWh</t>
  </si>
  <si>
    <t xml:space="preserve">Off-Peak  6 X 8 + 24 C$/MWh</t>
  </si>
  <si>
    <t xml:space="preserve">Off-Peak Days</t>
  </si>
  <si>
    <t xml:space="preserve">Peak Days (6 X 16)</t>
  </si>
  <si>
    <t xml:space="preserve">Days</t>
  </si>
  <si>
    <t xml:space="preserve">Saturdays</t>
  </si>
  <si>
    <t xml:space="preserve">Sundays</t>
  </si>
  <si>
    <t xml:space="preserve">Saturdays &amp; Sundays</t>
  </si>
  <si>
    <t xml:space="preserve">Week Days</t>
  </si>
  <si>
    <t xml:space="preserve">NERC Holidays</t>
  </si>
  <si>
    <t xml:space="preserve">Flat hrs</t>
  </si>
  <si>
    <t xml:space="preserve">Peak Hrs</t>
  </si>
  <si>
    <t xml:space="preserve">Off-peak hrs</t>
  </si>
  <si>
    <t xml:space="preserve">Flat Hrs</t>
  </si>
  <si>
    <t xml:space="preserve">Peak hrs</t>
  </si>
  <si>
    <t xml:space="preserve">Pk hrs</t>
  </si>
  <si>
    <t xml:space="preserve">off-peak</t>
  </si>
  <si>
    <t xml:space="preserve">Weekend</t>
  </si>
  <si>
    <t xml:space="preserve">%</t>
  </si>
  <si>
    <t xml:space="preserve">% </t>
  </si>
  <si>
    <t xml:space="preserve">5 X 8 vs wknd</t>
  </si>
  <si>
    <t xml:space="preserve">5 X 14</t>
  </si>
  <si>
    <t xml:space="preserve">Month</t>
  </si>
  <si>
    <t xml:space="preserve">6X16</t>
  </si>
  <si>
    <t xml:space="preserve">7 x 24</t>
  </si>
  <si>
    <t xml:space="preserve">5 x 16</t>
  </si>
  <si>
    <t xml:space="preserve">5 x 13</t>
  </si>
  <si>
    <t xml:space="preserve">5 x 8</t>
  </si>
  <si>
    <t xml:space="preserve">2 x 24</t>
  </si>
  <si>
    <t xml:space="preserve">Off-peal</t>
  </si>
  <si>
    <t xml:space="preserve">Wknd</t>
  </si>
  <si>
    <t xml:space="preserve">Off + wknd</t>
  </si>
  <si>
    <t xml:space="preserve">pk 5 X 13</t>
  </si>
  <si>
    <t xml:space="preserve">other hrs</t>
  </si>
  <si>
    <t xml:space="preserve">Trades - Financial &amp; Physical</t>
  </si>
  <si>
    <t xml:space="preserve">STS Rate</t>
  </si>
  <si>
    <t xml:space="preserve">(adjusted due STS language in TransAlta - was $2.37)</t>
  </si>
  <si>
    <t xml:space="preserve">NOTE: I broke the Enmax (June-Oct) and Duke (May-June) 7 X 24 trades into Pk and Off-peak components - to reflect positions</t>
  </si>
  <si>
    <t xml:space="preserve">Hours</t>
  </si>
  <si>
    <t xml:space="preserve">5 X 13 / HE 8 - HE 20 / Transalta</t>
  </si>
  <si>
    <t xml:space="preserve">7 X 24 / Transalta Energy Marketing</t>
  </si>
  <si>
    <t xml:space="preserve">7 X 24 / Duke</t>
  </si>
  <si>
    <t xml:space="preserve">Enmax</t>
  </si>
  <si>
    <t xml:space="preserve">5 X 16</t>
  </si>
  <si>
    <t xml:space="preserve">7 X 24</t>
  </si>
  <si>
    <t xml:space="preserve">5 X 13</t>
  </si>
  <si>
    <t xml:space="preserve">MW</t>
  </si>
  <si>
    <t xml:space="preserve">Price</t>
  </si>
  <si>
    <t xml:space="preserve">MTM</t>
  </si>
  <si>
    <t xml:space="preserve">MW </t>
  </si>
  <si>
    <t xml:space="preserve">MWh</t>
  </si>
  <si>
    <t xml:space="preserve">Summary Positions</t>
  </si>
  <si>
    <t xml:space="preserve">Sum 7 X 24</t>
  </si>
  <si>
    <t xml:space="preserve">Sum 5 X 13</t>
  </si>
  <si>
    <t xml:space="preserve">Sum 5 X 11 + 48</t>
  </si>
  <si>
    <t xml:space="preserve">Summary</t>
  </si>
  <si>
    <t xml:space="preserve">D_Factor</t>
  </si>
  <si>
    <t xml:space="preserve">MTM - Discounted</t>
  </si>
  <si>
    <t xml:space="preserve">TOTAL</t>
  </si>
  <si>
    <t xml:space="preserve">Alberta Electricity Postions / Forward Curves</t>
  </si>
  <si>
    <t xml:space="preserve">scalar 5 X 13 versus 5 X 16</t>
  </si>
  <si>
    <t xml:space="preserve">Positions - MWH</t>
  </si>
  <si>
    <t xml:space="preserve">Gas</t>
  </si>
  <si>
    <t xml:space="preserve">mids curve</t>
  </si>
  <si>
    <t xml:space="preserve">Mids Curve - Undiscounted</t>
  </si>
  <si>
    <t xml:space="preserve">Forward P&amp;L</t>
  </si>
  <si>
    <t xml:space="preserve">Fwd P&amp;L - Summary</t>
  </si>
  <si>
    <t xml:space="preserve">Origination summary</t>
  </si>
  <si>
    <t xml:space="preserve">2 X 24</t>
  </si>
  <si>
    <t xml:space="preserve">5 X 8</t>
  </si>
  <si>
    <t xml:space="preserve">5 X 11 + 48</t>
  </si>
  <si>
    <t xml:space="preserve">Total</t>
  </si>
  <si>
    <t xml:space="preserve">gas</t>
  </si>
  <si>
    <t xml:space="preserve">origination </t>
  </si>
  <si>
    <t xml:space="preserve">Power BOOK</t>
  </si>
  <si>
    <t xml:space="preserve">5 X 16
HE 8 - 23</t>
  </si>
  <si>
    <t xml:space="preserve">5 X 13
HE 8 - 20</t>
  </si>
  <si>
    <t xml:space="preserve">5 X 3
HE 21- 23</t>
  </si>
  <si>
    <t xml:space="preserve">7 X 8 
HE 1-7, 24</t>
  </si>
  <si>
    <t xml:space="preserve">Saturday 
1 X 16 </t>
  </si>
  <si>
    <t xml:space="preserve">Sunday
1 X 16</t>
  </si>
  <si>
    <t xml:space="preserve">Historical MTM</t>
  </si>
  <si>
    <t xml:space="preserve">(updated manually)</t>
  </si>
  <si>
    <t xml:space="preserve">Previous Day</t>
  </si>
  <si>
    <t xml:space="preserve">MTM - Power Book</t>
  </si>
  <si>
    <t xml:space="preserve">Estimated Liquidation </t>
  </si>
  <si>
    <t xml:space="preserve">Actual Liquidation</t>
  </si>
  <si>
    <t xml:space="preserve">Actual less estimate</t>
  </si>
  <si>
    <t xml:space="preserve">Rest of Month - Hours</t>
  </si>
  <si>
    <t xml:space="preserve">Today </t>
  </si>
  <si>
    <t xml:space="preserve">Mid-C Convention</t>
  </si>
  <si>
    <t xml:space="preserve">AB Convention</t>
  </si>
  <si>
    <t xml:space="preserve">ROM Hours- Mid C</t>
  </si>
  <si>
    <t xml:space="preserve">ROM Hours - AB</t>
  </si>
  <si>
    <t xml:space="preserve">ROM Positions</t>
  </si>
  <si>
    <t xml:space="preserve">NET - 5 X 11 + 48</t>
  </si>
  <si>
    <t xml:space="preserve">Monthly Totals  -Hours</t>
  </si>
  <si>
    <t xml:space="preserve">Prices</t>
  </si>
  <si>
    <t xml:space="preserve">Fwd Curve - varies by weekday / sat / sun</t>
  </si>
  <si>
    <t xml:space="preserve">TAU </t>
  </si>
  <si>
    <t xml:space="preserve">TAU</t>
  </si>
  <si>
    <t xml:space="preserve">Duke</t>
  </si>
  <si>
    <t xml:space="preserve">Weekday</t>
  </si>
  <si>
    <t xml:space="preserve">NERC holiday</t>
  </si>
  <si>
    <t xml:space="preserve">Peak Hours
(6 X 16)</t>
  </si>
  <si>
    <t xml:space="preserve">Off-Peak Hours
(6 X 8 + 24)</t>
  </si>
  <si>
    <t xml:space="preserve">Peak Hours
(HE 8 - 20)</t>
  </si>
  <si>
    <t xml:space="preserve">Peak Hours
(HE 21 - 23)</t>
  </si>
  <si>
    <t xml:space="preserve">Off Peak Hours
(HE 1 - 7, 24)</t>
  </si>
  <si>
    <t xml:space="preserve">Peak Hours
(5 X 16)</t>
  </si>
  <si>
    <t xml:space="preserve">Off Peak Hours
(5 X 8)</t>
  </si>
  <si>
    <t xml:space="preserve">Weekends
(2 X 24)</t>
  </si>
  <si>
    <t xml:space="preserve">5 X 13 - 1</t>
  </si>
  <si>
    <t xml:space="preserve">5 X 11 + 48 - 1</t>
  </si>
  <si>
    <t xml:space="preserve">7 X 24 - 1</t>
  </si>
  <si>
    <t xml:space="preserve">7X24 - 2</t>
  </si>
  <si>
    <t xml:space="preserve">N</t>
  </si>
  <si>
    <t xml:space="preserve">Y</t>
  </si>
  <si>
    <t xml:space="preserve">rom profit</t>
  </si>
  <si>
    <t xml:space="preserve">Weekday Power Curve</t>
  </si>
  <si>
    <t xml:space="preserve">5 X 16 Price</t>
  </si>
  <si>
    <t xml:space="preserve">7 X 8 Price</t>
  </si>
  <si>
    <t xml:space="preserve">5 X 13 Price</t>
  </si>
  <si>
    <t xml:space="preserve">7 X 24 Price</t>
  </si>
  <si>
    <t xml:space="preserve">HE 21-22-23</t>
  </si>
  <si>
    <t xml:space="preserve">HE 1</t>
  </si>
  <si>
    <t xml:space="preserve">HE 2</t>
  </si>
  <si>
    <t xml:space="preserve">HE 3</t>
  </si>
  <si>
    <t xml:space="preserve">HE 4</t>
  </si>
  <si>
    <t xml:space="preserve">HE 5</t>
  </si>
  <si>
    <t xml:space="preserve">HE 6</t>
  </si>
  <si>
    <t xml:space="preserve">HE 7</t>
  </si>
  <si>
    <t xml:space="preserve">HE 8</t>
  </si>
  <si>
    <t xml:space="preserve">HE 9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</si>
  <si>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</si>
  <si>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</si>
  <si>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</si>
  <si>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</si>
  <si>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</si>
  <si>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</si>
  <si>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</si>
  <si>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</si>
  <si>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</si>
  <si>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</si>
  <si>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</si>
  <si>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HE 21</t>
  </si>
  <si>
    <t xml:space="preserve">HE 22</t>
  </si>
  <si>
    <t xml:space="preserve">HE 23</t>
  </si>
  <si>
    <t xml:space="preserve">HE 24</t>
  </si>
  <si>
    <t xml:space="preserve">Saturday Power Curve</t>
  </si>
  <si>
    <t xml:space="preserve">1 X 16 Price</t>
  </si>
  <si>
    <t xml:space="preserve">1 X 13 Price</t>
  </si>
  <si>
    <t xml:space="preserve">1 X 24 Price</t>
  </si>
  <si>
    <t xml:space="preserve">Sunday Power Curve</t>
  </si>
  <si>
    <t xml:space="preserve">Int Rates Curve</t>
  </si>
  <si>
    <t xml:space="preserve">Forward Power Price Curves, Volatilities and Price Profile</t>
  </si>
  <si>
    <t xml:space="preserve">Alberta Power Pool</t>
  </si>
  <si>
    <t xml:space="preserve">PEAK - 5 X 16 - HE 8 - 23 MT</t>
  </si>
  <si>
    <t xml:space="preserve">OFF-PEAK - 7 X 8 - HE 1-7,24</t>
  </si>
  <si>
    <t xml:space="preserve">Saturday - 1 X 16</t>
  </si>
  <si>
    <t xml:space="preserve">Sunday 1 X 16</t>
  </si>
  <si>
    <t xml:space="preserve">Bid</t>
  </si>
  <si>
    <t xml:space="preserve">Mid</t>
  </si>
  <si>
    <t xml:space="preserve">Offer</t>
  </si>
  <si>
    <t xml:space="preserve">($/MWH)</t>
  </si>
  <si>
    <t xml:space="preserve">Month / Dau</t>
  </si>
  <si>
    <t xml:space="preserve">pk chk</t>
  </si>
  <si>
    <t xml:space="preserve">off chk</t>
  </si>
  <si>
    <t xml:space="preserve">HE 21, 22, 23</t>
  </si>
  <si>
    <t xml:space="preserve">Jan</t>
  </si>
  <si>
    <t xml:space="preserve">Feb</t>
  </si>
  <si>
    <t xml:space="preserve">www.al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</si>
  <si>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</si>
  <si>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</si>
  <si>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</si>
  <si>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</si>
  <si>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</si>
  <si>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</si>
  <si>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</si>
  <si>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</si>
  <si>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</si>
  <si>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</si>
  <si>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Inputs</t>
  </si>
  <si>
    <t xml:space="preserve">Peak Heat Rate Mid - 2000</t>
  </si>
  <si>
    <t xml:space="preserve">% of Annual</t>
  </si>
  <si>
    <t xml:space="preserve">Heat Rate</t>
  </si>
  <si>
    <t xml:space="preserve">Q1</t>
  </si>
  <si>
    <t xml:space="preserve">April</t>
  </si>
  <si>
    <t xml:space="preserve">jun</t>
  </si>
  <si>
    <t xml:space="preserve">Q3</t>
  </si>
  <si>
    <t xml:space="preserve">Q4</t>
  </si>
  <si>
    <t xml:space="preserve">Peak Heat Rate Mid - 2001</t>
  </si>
  <si>
    <t xml:space="preserve">Peak Heat Rate Mid - 2002</t>
  </si>
  <si>
    <t xml:space="preserve">Peak Heat Rate Mid - 2003</t>
  </si>
  <si>
    <t xml:space="preserve">Peak Heat Rate Mid - 2004</t>
  </si>
  <si>
    <t xml:space="preserve">Peak Heat Rate Mid - 2005 - and beyond</t>
  </si>
  <si>
    <t xml:space="preserve">Premium to 98/99 max. off-pk - 2000</t>
  </si>
  <si>
    <t xml:space="preserve">Off-Peak Growth per annum</t>
  </si>
  <si>
    <t xml:space="preserve">Post 2001</t>
  </si>
  <si>
    <t xml:space="preserve">Mids</t>
  </si>
  <si>
    <t xml:space="preserve">Term</t>
  </si>
  <si>
    <t xml:space="preserve">AECO Daily</t>
  </si>
  <si>
    <t xml:space="preserve">Peak Mid-C</t>
  </si>
  <si>
    <t xml:space="preserve">Flat Mid-C</t>
  </si>
  <si>
    <t xml:space="preserve">Weekday Peak</t>
  </si>
  <si>
    <t xml:space="preserve">Q1 2000</t>
  </si>
  <si>
    <t xml:space="preserve">Q2 2000</t>
  </si>
  <si>
    <t xml:space="preserve">Q3 2000</t>
  </si>
  <si>
    <t xml:space="preserve">Q4 2000</t>
  </si>
  <si>
    <t xml:space="preserve">Q1 2001</t>
  </si>
  <si>
    <t xml:space="preserve">Q2 2001</t>
  </si>
  <si>
    <t xml:space="preserve">Q3 2001</t>
  </si>
  <si>
    <t xml:space="preserve">Q4 2001</t>
  </si>
  <si>
    <t xml:space="preserve">Q1 2002</t>
  </si>
  <si>
    <t xml:space="preserve">Q2 2002</t>
  </si>
  <si>
    <t xml:space="preserve">Q3 2002</t>
  </si>
  <si>
    <t xml:space="preserve">Q4 2002</t>
  </si>
  <si>
    <t xml:space="preserve">Q1 2003</t>
  </si>
  <si>
    <t xml:space="preserve">Q2 2003</t>
  </si>
  <si>
    <t xml:space="preserve">Q3 2003</t>
  </si>
  <si>
    <t xml:space="preserve">Q4 2003</t>
  </si>
  <si>
    <t xml:space="preserve">Q1 2004</t>
  </si>
  <si>
    <t xml:space="preserve">Q2 2004</t>
  </si>
  <si>
    <t xml:space="preserve">Q3 2004</t>
  </si>
  <si>
    <t xml:space="preserve">Q4 2004</t>
  </si>
  <si>
    <t xml:space="preserve">Q1 2005</t>
  </si>
  <si>
    <t xml:space="preserve">Q2 2005</t>
  </si>
  <si>
    <t xml:space="preserve">Q3 2005</t>
  </si>
  <si>
    <t xml:space="preserve">Q4 2005</t>
  </si>
  <si>
    <t xml:space="preserve">Cal 2000</t>
  </si>
  <si>
    <t xml:space="preserve">Cal 2001</t>
  </si>
  <si>
    <t xml:space="preserve">Cal 2002</t>
  </si>
  <si>
    <t xml:space="preserve">Cal 2003</t>
  </si>
  <si>
    <t xml:space="preserve">Cal 2004</t>
  </si>
  <si>
    <t xml:space="preserve">Cal 2005</t>
  </si>
  <si>
    <t xml:space="preserve">May 2000 - 3 YR</t>
  </si>
  <si>
    <t xml:space="preserve">July 2000 - 5 YR</t>
  </si>
  <si>
    <t xml:space="preserve">2001 5 Yr</t>
  </si>
  <si>
    <t xml:space="preserve">Undiscounted &amp; Discounted Forward Curves</t>
  </si>
  <si>
    <t xml:space="preserve">Scalars</t>
  </si>
  <si>
    <t xml:space="preserve">Versus 5 X 16 Peak Prices</t>
  </si>
  <si>
    <t xml:space="preserve">Sunday - 1 X 16</t>
  </si>
  <si>
    <t xml:space="preserve">Undiscounted</t>
  </si>
  <si>
    <t xml:space="preserve">Discounted</t>
  </si>
  <si>
    <t xml:space="preserve">Mids - 7 X 8</t>
  </si>
  <si>
    <t xml:space="preserve">Peak - 5 X 16</t>
  </si>
  <si>
    <t xml:space="preserve">Flat</t>
  </si>
  <si>
    <t xml:space="preserve">Peak - 5x16 Heat rate</t>
  </si>
  <si>
    <t xml:space="preserve">Mids - 5 X 8</t>
  </si>
  <si>
    <t xml:space="preserve">Mids - Weekends</t>
  </si>
  <si>
    <t xml:space="preserve">Swap Model - Mids - C$</t>
  </si>
  <si>
    <t xml:space="preserve">First Month</t>
  </si>
  <si>
    <t xml:space="preserve">Last Month</t>
  </si>
  <si>
    <t xml:space="preserve">Months</t>
  </si>
  <si>
    <t xml:space="preserve">Bid/Offer range</t>
  </si>
  <si>
    <t xml:space="preserve">MWh </t>
  </si>
  <si>
    <t xml:space="preserve">time period</t>
  </si>
  <si>
    <t xml:space="preserve">Discounted - BA</t>
  </si>
  <si>
    <t xml:space="preserve">5 X 8 </t>
  </si>
  <si>
    <t xml:space="preserve">Gas AECO Daily</t>
  </si>
  <si>
    <t xml:space="preserve">Peak Mid-C $US</t>
  </si>
  <si>
    <t xml:space="preserve">Flat Mid-C $US</t>
  </si>
  <si>
    <t xml:space="preserve">6 X 16</t>
  </si>
  <si>
    <t xml:space="preserve">Swap Prices  - Mids</t>
  </si>
  <si>
    <t xml:space="preserve">Swap Prices - Bids</t>
  </si>
  <si>
    <t xml:space="preserve">Swap Prices - Offer</t>
  </si>
  <si>
    <t xml:space="preserve">HEAT RATES - GJ/MWh</t>
  </si>
  <si>
    <t xml:space="preserve">Flat </t>
  </si>
  <si>
    <t xml:space="preserve">Pool Price less Mid-C</t>
  </si>
  <si>
    <t xml:space="preserve">hardcoded</t>
  </si>
  <si>
    <t xml:space="preserve">may</t>
  </si>
  <si>
    <t xml:space="preserve">june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</si>
  <si>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</si>
  <si>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</si>
  <si>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</si>
  <si>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</si>
  <si>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</si>
  <si>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</si>
  <si>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MWh - Discounted</t>
  </si>
  <si>
    <t xml:space="preserve">MWh - Undiscounted</t>
  </si>
  <si>
    <t xml:space="preserve">Weekdays</t>
  </si>
  <si>
    <t xml:space="preserve">Weekends</t>
  </si>
  <si>
    <t xml:space="preserve">Section I  - Heat Rate Offer</t>
  </si>
  <si>
    <t xml:space="preserve">(originator pays the floating heat rate and receives the pool)</t>
  </si>
  <si>
    <t xml:space="preserve">Outputs</t>
  </si>
  <si>
    <t xml:space="preserve">Deal Volume per hour</t>
  </si>
  <si>
    <t xml:space="preserve">Implied Fixed Price Offer</t>
  </si>
  <si>
    <t xml:space="preserve">Total deal volume - MWh</t>
  </si>
  <si>
    <t xml:space="preserve">Heat Rate offer</t>
  </si>
  <si>
    <t xml:space="preserve">AECO Index Price ("actual")</t>
  </si>
  <si>
    <t xml:space="preserve">F</t>
  </si>
  <si>
    <t xml:space="preserve">(Peak or Flat)</t>
  </si>
  <si>
    <t xml:space="preserve">Pool Price ("actual")</t>
  </si>
  <si>
    <t xml:space="preserve">AECO Bid</t>
  </si>
  <si>
    <t xml:space="preserve">(Fixed for floating swap)</t>
  </si>
  <si>
    <t xml:space="preserve">Profit (PV)</t>
  </si>
  <si>
    <t xml:space="preserve">Power Offer</t>
  </si>
  <si>
    <t xml:space="preserve">Implied Heat Rate bid</t>
  </si>
  <si>
    <t xml:space="preserve">Hedge Gas Volume</t>
  </si>
  <si>
    <t xml:space="preserve">(GJ)</t>
  </si>
  <si>
    <t xml:space="preserve">Gas Volume</t>
  </si>
  <si>
    <t xml:space="preserve">MWh per GJ</t>
  </si>
  <si>
    <t xml:space="preserve">Gas Price</t>
  </si>
  <si>
    <t xml:space="preserve">"Originator Economics"</t>
  </si>
  <si>
    <t xml:space="preserve">Customer Swap</t>
  </si>
  <si>
    <t xml:space="preserve">Gas Swap</t>
  </si>
  <si>
    <t xml:space="preserve">Power Swap</t>
  </si>
  <si>
    <t xml:space="preserve">(heat rate less pool)</t>
  </si>
  <si>
    <t xml:space="preserve">(fixed less aeco)</t>
  </si>
  <si>
    <t xml:space="preserve">(Pool less fixed)</t>
  </si>
  <si>
    <t xml:space="preserve">Profit</t>
  </si>
  <si>
    <t xml:space="preserve">Profit - PV</t>
  </si>
  <si>
    <t xml:space="preserve">Section II  - Heat Rate Bid</t>
  </si>
  <si>
    <t xml:space="preserve">(originator receives the pool and pays the floating heat rate)</t>
  </si>
  <si>
    <t xml:space="preserve">Implied Fixed Price Bid</t>
  </si>
  <si>
    <t xml:space="preserve">Heat Rate Bid</t>
  </si>
  <si>
    <t xml:space="preserve">AECO Offer</t>
  </si>
  <si>
    <t xml:space="preserve">Power Bid</t>
  </si>
  <si>
    <t xml:space="preserve">Implied Heat Rate Sale</t>
  </si>
  <si>
    <t xml:space="preserve">(pool less heat rate)</t>
  </si>
  <si>
    <t xml:space="preserve">(aeco less fixed)</t>
  </si>
  <si>
    <t xml:space="preserve">(fixed less pool)</t>
  </si>
  <si>
    <t xml:space="preserve">Profit Chk</t>
  </si>
  <si>
    <t xml:space="preserve">Section I </t>
  </si>
  <si>
    <t xml:space="preserve">Deal Volume per day</t>
  </si>
  <si>
    <t xml:space="preserve">Implied Gas Price</t>
  </si>
  <si>
    <t xml:space="preserve">Total deal volume - </t>
  </si>
  <si>
    <t xml:space="preserve">Heat Rate_customer</t>
  </si>
  <si>
    <t xml:space="preserve">Gas ("actual")</t>
  </si>
  <si>
    <t xml:space="preserve">Pool Index ("actual")</t>
  </si>
  <si>
    <t xml:space="preserve">Gas Bid</t>
  </si>
  <si>
    <t xml:space="preserve">Pool Offer</t>
  </si>
  <si>
    <t xml:space="preserve">Profit per MWh</t>
  </si>
  <si>
    <t xml:space="preserve">Implied Heat Rate_orig. </t>
  </si>
  <si>
    <t xml:space="preserve">Profit per gas unit</t>
  </si>
  <si>
    <t xml:space="preserve">Hedge Power Volume</t>
  </si>
  <si>
    <t xml:space="preserve">(MWh=(1/Heat Rate(cust.))*total GJ)</t>
  </si>
  <si>
    <t xml:space="preserve">Profit - undiscounted</t>
  </si>
  <si>
    <t xml:space="preserve">Power Volume</t>
  </si>
  <si>
    <t xml:space="preserve">Profit - undiscounted (quick)</t>
  </si>
  <si>
    <t xml:space="preserve">(Heat Rate Spread*MWh*Gas Price)</t>
  </si>
  <si>
    <t xml:space="preserve">FYI - Historical Heat Rates - Flat</t>
  </si>
  <si>
    <t xml:space="preserve">May - Oct 98 Heat Rate</t>
  </si>
  <si>
    <t xml:space="preserve">May - Oct 99 Heat Rate</t>
  </si>
  <si>
    <t xml:space="preserve">Nov 99 - Mar 00 Heat Rate</t>
  </si>
  <si>
    <t xml:space="preserve">Q1 00 Heat Rate</t>
  </si>
  <si>
    <t xml:space="preserve">Mar 00 Heat Rate</t>
  </si>
  <si>
    <t xml:space="preserve">Gas swap</t>
  </si>
  <si>
    <t xml:space="preserve">GJ</t>
  </si>
  <si>
    <t xml:space="preserve">Days - Gas</t>
  </si>
  <si>
    <t xml:space="preserve">(originator pays the floating heat rate and receives gas)</t>
  </si>
  <si>
    <t xml:space="preserve">PJM Index ("actual")</t>
  </si>
  <si>
    <t xml:space="preserve">PJM Offer</t>
  </si>
  <si>
    <t xml:space="preserve">(MWh)</t>
  </si>
  <si>
    <t xml:space="preserve">Hedge Cost - per MWh</t>
  </si>
  <si>
    <t xml:space="preserve">Daily</t>
  </si>
  <si>
    <t xml:space="preserve">Monthly</t>
  </si>
  <si>
    <t xml:space="preserve">Hedge Cost - Total</t>
  </si>
  <si>
    <t xml:space="preserve">Total Profit - Monthly Floor</t>
  </si>
</sst>
</file>

<file path=xl/styles.xml><?xml version="1.0" encoding="utf-8"?>
<styleSheet xmlns="http://schemas.openxmlformats.org/spreadsheetml/2006/main">
  <numFmts count="49">
    <numFmt numFmtId="164" formatCode="General"/>
    <numFmt numFmtId="165" formatCode="[$-409]m/d/yyyy"/>
    <numFmt numFmtId="166" formatCode="\$#,##0_);[RED]&quot;($&quot;#,##0\)"/>
    <numFmt numFmtId="167" formatCode="_(* #,##0_);_(* \(#,##0\);_(* \-_);_(@_)"/>
    <numFmt numFmtId="168" formatCode="mmm\-yyyy"/>
    <numFmt numFmtId="169" formatCode="0"/>
    <numFmt numFmtId="170" formatCode="[$-409]mmm\-yy"/>
    <numFmt numFmtId="171" formatCode="0.0000"/>
    <numFmt numFmtId="172" formatCode="0.00%"/>
    <numFmt numFmtId="173" formatCode="0%"/>
    <numFmt numFmtId="174" formatCode="\$#,##0.00_);&quot;($&quot;#,##0.00\)"/>
    <numFmt numFmtId="175" formatCode="\$#,##0.00"/>
    <numFmt numFmtId="176" formatCode="\$#,##0.000"/>
    <numFmt numFmtId="177" formatCode="0.00"/>
    <numFmt numFmtId="178" formatCode="\$#,##0.0000"/>
    <numFmt numFmtId="179" formatCode="_(* #,##0.00_);_(* \(#,##0.00\);_(* \-??_);_(@_)"/>
    <numFmt numFmtId="180" formatCode="[$-409]d\-mmm\-yy"/>
    <numFmt numFmtId="181" formatCode="0.0000_)"/>
    <numFmt numFmtId="182" formatCode="0.000000000_)"/>
    <numFmt numFmtId="183" formatCode="\$#,##0"/>
    <numFmt numFmtId="184" formatCode="#,##0"/>
    <numFmt numFmtId="185" formatCode="\$#,##0.00_);[RED]&quot;($&quot;#,##0.00\)"/>
    <numFmt numFmtId="186" formatCode="ddd"/>
    <numFmt numFmtId="187" formatCode="[$-409]#,##0_);\(#,##0\)"/>
    <numFmt numFmtId="188" formatCode="0_);[RED]\-0_)"/>
    <numFmt numFmtId="189" formatCode="dd\-mmm\-yy_)"/>
    <numFmt numFmtId="190" formatCode="#,##0.0000_);\(#,##0.0000\)"/>
    <numFmt numFmtId="191" formatCode="mmm\-yy_)"/>
    <numFmt numFmtId="192" formatCode="[$-409]#,##0.00_);\(#,##0.00\)"/>
    <numFmt numFmtId="193" formatCode="0.000"/>
    <numFmt numFmtId="194" formatCode="#,##0.00"/>
    <numFmt numFmtId="195" formatCode="#,##0.0"/>
    <numFmt numFmtId="196" formatCode="#,##0.0_);[RED]\(#,##0.0\)"/>
    <numFmt numFmtId="197" formatCode="#,##0.0000_);[RED]\(#,##0.0000\)"/>
    <numFmt numFmtId="198" formatCode="0.0"/>
    <numFmt numFmtId="199" formatCode="0.00&quot; GJ/MWh&quot;"/>
    <numFmt numFmtId="200" formatCode="\$#,##0.000&quot; /GJ&quot;"/>
    <numFmt numFmtId="201" formatCode="\$#,##0.00&quot; /MWh&quot;"/>
    <numFmt numFmtId="202" formatCode="#,##0&quot; GJ/D&quot;"/>
    <numFmt numFmtId="203" formatCode="0.000&quot; MWh/GJ&quot;"/>
    <numFmt numFmtId="204" formatCode="0.0&quot; GJ/MWh&quot;"/>
    <numFmt numFmtId="205" formatCode="\$#,##0.00&quot; /GJ&quot;"/>
    <numFmt numFmtId="206" formatCode="0.00&quot; GJ//MWh&quot;"/>
    <numFmt numFmtId="207" formatCode="#,##0&quot; MWh/D&quot;"/>
    <numFmt numFmtId="208" formatCode="_(\$* #,##0.00_);_(\$* \(#,##0.00\);_(\$* \-??_);_(@_)"/>
    <numFmt numFmtId="209" formatCode="#,##0.0_);\(#,##0.0\)"/>
    <numFmt numFmtId="210" formatCode="0.0&quot; mmbtu//MWh&quot;"/>
    <numFmt numFmtId="211" formatCode="\$#,##0.00&quot; /mmbtu&quot;"/>
    <numFmt numFmtId="212" formatCode="_(\$* #,##0_);_(\$* \(#,##0\);_(\$* \-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u val="double"/>
      <sz val="10"/>
      <name val="Arial"/>
      <family val="2"/>
    </font>
    <font>
      <b val="true"/>
      <i val="true"/>
      <sz val="18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1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8000"/>
      <name val="Times New Roman"/>
      <family val="1"/>
    </font>
    <font>
      <b val="true"/>
      <i val="true"/>
      <sz val="12"/>
      <name val="Arial"/>
      <family val="2"/>
    </font>
    <font>
      <sz val="18"/>
      <color rgb="FF0000FF"/>
      <name val="Arial"/>
      <family val="0"/>
    </font>
    <font>
      <sz val="10"/>
      <color rgb="FF0000FF"/>
      <name val="Courier New"/>
      <family val="0"/>
    </font>
    <font>
      <b val="true"/>
      <sz val="10"/>
      <color rgb="FF000000"/>
      <name val="Courier New"/>
      <family val="0"/>
    </font>
    <font>
      <sz val="10"/>
      <color rgb="FF000000"/>
      <name val="Arial"/>
      <family val="0"/>
    </font>
    <font>
      <sz val="10"/>
      <color rgb="FF000000"/>
      <name val="Courier New"/>
      <family val="3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6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8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6" fillId="7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18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1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18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8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88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6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2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9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XPT_0898" xfId="20"/>
    <cellStyle name="Normal_m1_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externalLink" Target="externalLinks/externalLink5.xml"/><Relationship Id="rId23" Type="http://schemas.openxmlformats.org/officeDocument/2006/relationships/sharedStrings" Target="sharedStrings.xml"/>
</Relationships>
</file>

<file path=xl/ctrlProps/ctrlProps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0" name="Text 1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" name="Text 2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" name="Text 3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3" name="Text 4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4" name="Text 5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5" name="Text 6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6" name="Text 7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7" name="Text 8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8" name="Text 9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9" name="Text 10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0" name="Text 11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1" name="Text 12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2" name="Text 13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3" name="Text 14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4" name="Text 15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5" name="Text 16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6" name="Text 17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7" name="Text 18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8" name="Text 19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19" name="Text 20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0" name="Text 21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1" name="Text 22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2" name="Text 23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3" name="Text 24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4" name="Text 25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5" name="Text 26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6" name="Text 27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7" name="Text 28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8" name="Text 29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29" name="Text 30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30" name="Text 31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81000</xdr:colOff>
      <xdr:row>2</xdr:row>
      <xdr:rowOff>37800</xdr:rowOff>
    </xdr:to>
    <xdr:sp>
      <xdr:nvSpPr>
        <xdr:cNvPr id="31" name="Text 32"/>
        <xdr:cNvSpPr/>
      </xdr:nvSpPr>
      <xdr:spPr>
        <a:xfrm>
          <a:off x="8316000" y="162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2" name="Text 33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3" name="Text 34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4" name="Text 35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5" name="Text 36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6" name="Text 37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7" name="Text 38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8" name="Text 39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39" name="Text 40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0" name="Text 41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1" name="Text 42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2" name="Text 43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3" name="Text 44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4" name="Text 45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5" name="Text 46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6" name="Text 47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81000</xdr:colOff>
      <xdr:row>3</xdr:row>
      <xdr:rowOff>38160</xdr:rowOff>
    </xdr:to>
    <xdr:sp>
      <xdr:nvSpPr>
        <xdr:cNvPr id="47" name="Text 48"/>
        <xdr:cNvSpPr/>
      </xdr:nvSpPr>
      <xdr:spPr>
        <a:xfrm>
          <a:off x="8316000" y="32400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48" name="Text 49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49" name="Text 50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0" name="Text 51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1" name="Text 52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2" name="Text 53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3" name="Text 54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4" name="Text 55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5" name="Text 56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6" name="Text 57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7" name="Text 58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8" name="Text 59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59" name="Text 60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60" name="Text 61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61" name="Text 62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62" name="Text 63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81000</xdr:colOff>
      <xdr:row>4</xdr:row>
      <xdr:rowOff>38160</xdr:rowOff>
    </xdr:to>
    <xdr:sp>
      <xdr:nvSpPr>
        <xdr:cNvPr id="63" name="Text 64"/>
        <xdr:cNvSpPr/>
      </xdr:nvSpPr>
      <xdr:spPr>
        <a:xfrm>
          <a:off x="8316000" y="48564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64" name="Text 65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65" name="Text 66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66" name="Text 67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67" name="Text 68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68" name="Text 69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69" name="Text 70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0" name="Text 71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1" name="Text 72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2" name="Text 73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3" name="Text 74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4" name="Text 75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5" name="Text 76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6" name="Text 77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7" name="Text 78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8" name="Text 79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81000</xdr:colOff>
      <xdr:row>5</xdr:row>
      <xdr:rowOff>37800</xdr:rowOff>
    </xdr:to>
    <xdr:sp>
      <xdr:nvSpPr>
        <xdr:cNvPr id="79" name="Text 80"/>
        <xdr:cNvSpPr/>
      </xdr:nvSpPr>
      <xdr:spPr>
        <a:xfrm>
          <a:off x="8316000" y="647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0" name="Text 81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1" name="Text 82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2" name="Text 83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3" name="Text 84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4" name="Text 85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5" name="Text 86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6" name="Text 87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7" name="Text 88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8" name="Text 89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89" name="Text 90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90" name="Text 91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91" name="Text 92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92" name="Text 93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93" name="Text 94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94" name="Text 95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81000</xdr:colOff>
      <xdr:row>6</xdr:row>
      <xdr:rowOff>37800</xdr:rowOff>
    </xdr:to>
    <xdr:sp>
      <xdr:nvSpPr>
        <xdr:cNvPr id="95" name="Text 96"/>
        <xdr:cNvSpPr/>
      </xdr:nvSpPr>
      <xdr:spPr>
        <a:xfrm>
          <a:off x="8316000" y="809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96" name="Text 97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97" name="Text 98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98" name="Text 99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99" name="Text 100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0" name="Text 101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1" name="Text 102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2" name="Text 103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3" name="Text 104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4" name="Text 105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5" name="Text 106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6" name="Text 107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7" name="Text 108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8" name="Text 109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09" name="Text 110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10" name="Text 111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81000</xdr:colOff>
      <xdr:row>7</xdr:row>
      <xdr:rowOff>37800</xdr:rowOff>
    </xdr:to>
    <xdr:sp>
      <xdr:nvSpPr>
        <xdr:cNvPr id="111" name="Text 112"/>
        <xdr:cNvSpPr/>
      </xdr:nvSpPr>
      <xdr:spPr>
        <a:xfrm>
          <a:off x="8316000" y="971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2" name="Text 113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3" name="Text 114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4" name="Text 115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5" name="Text 116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6" name="Text 117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7" name="Text 118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8" name="Text 119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19" name="Text 120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0" name="Text 121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1" name="Text 122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2" name="Text 123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3" name="Text 124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4" name="Text 125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5" name="Text 126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6" name="Text 127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81000</xdr:colOff>
      <xdr:row>8</xdr:row>
      <xdr:rowOff>38160</xdr:rowOff>
    </xdr:to>
    <xdr:sp>
      <xdr:nvSpPr>
        <xdr:cNvPr id="127" name="Text 128"/>
        <xdr:cNvSpPr/>
      </xdr:nvSpPr>
      <xdr:spPr>
        <a:xfrm>
          <a:off x="8316000" y="113364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28" name="Text 12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29" name="Text 13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0" name="Text 13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1" name="Text 13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2" name="Text 13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3" name="Text 13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4" name="Text 13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5" name="Text 13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6" name="Text 13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7" name="Text 13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8" name="Text 13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39" name="Text 14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0" name="Text 14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1" name="Text 14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2" name="Text 14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3" name="Text 14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4" name="Text 14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5" name="Text 14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6" name="Text 14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7" name="Text 14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8" name="Text 14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49" name="Text 15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0" name="Text 15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1" name="Text 15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2" name="Text 15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3" name="Text 15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4" name="Text 15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5" name="Text 15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6" name="Text 15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7" name="Text 15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8" name="Text 15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59" name="Text 16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0" name="Text 16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1" name="Text 16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2" name="Text 16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3" name="Text 16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4" name="Text 16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5" name="Text 16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6" name="Text 16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7" name="Text 16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8" name="Text 16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69" name="Text 17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0" name="Text 17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1" name="Text 17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2" name="Text 17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3" name="Text 17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4" name="Text 17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5" name="Text 17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6" name="Text 17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7" name="Text 17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8" name="Text 17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79" name="Text 18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0" name="Text 18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1" name="Text 18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2" name="Text 18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3" name="Text 18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4" name="Text 18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5" name="Text 18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6" name="Text 18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7" name="Text 18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8" name="Text 18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89" name="Text 19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0" name="Text 19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1" name="Text 19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2" name="Text 19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3" name="Text 19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4" name="Text 19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5" name="Text 19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6" name="Text 19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7" name="Text 19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8" name="Text 19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199" name="Text 20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0" name="Text 20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1" name="Text 20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2" name="Text 20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3" name="Text 20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4" name="Text 20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5" name="Text 20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6" name="Text 20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7" name="Text 20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8" name="Text 20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09" name="Text 21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0" name="Text 21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1" name="Text 21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2" name="Text 21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3" name="Text 21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4" name="Text 21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5" name="Text 21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6" name="Text 21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7" name="Text 21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8" name="Text 21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19" name="Text 22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0" name="Text 22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1" name="Text 22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2" name="Text 22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3" name="Text 22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4" name="Text 22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5" name="Text 22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6" name="Text 22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7" name="Text 22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8" name="Text 22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29" name="Text 23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0" name="Text 23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1" name="Text 23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2" name="Text 23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3" name="Text 23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4" name="Text 23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5" name="Text 23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6" name="Text 23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7" name="Text 23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8" name="Text 23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39" name="Text 24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0" name="Text 24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1" name="Text 24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2" name="Text 24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3" name="Text 24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4" name="Text 24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5" name="Text 24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6" name="Text 24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7" name="Text 24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8" name="Text 24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49" name="Text 25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0" name="Text 25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1" name="Text 25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2" name="Text 25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3" name="Text 25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4" name="Text 25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5" name="Text 25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6" name="Text 25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7" name="Text 25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8" name="Text 25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59" name="Text 26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0" name="Text 26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1" name="Text 26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2" name="Text 26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3" name="Text 26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4" name="Text 26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5" name="Text 26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6" name="Text 26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7" name="Text 26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8" name="Text 26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69" name="Text 27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0" name="Text 27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1" name="Text 27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2" name="Text 27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3" name="Text 27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4" name="Text 27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5" name="Text 27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6" name="Text 27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7" name="Text 27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8" name="Text 27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79" name="Text 28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0" name="Text 28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1" name="Text 28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2" name="Text 28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3" name="Text 28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4" name="Text 28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5" name="Text 28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6" name="Text 28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7" name="Text 28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8" name="Text 28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89" name="Text 29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0" name="Text 29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1" name="Text 29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2" name="Text 29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3" name="Text 29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4" name="Text 29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5" name="Text 29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6" name="Text 29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7" name="Text 29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8" name="Text 29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299" name="Text 30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0" name="Text 30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1" name="Text 30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2" name="Text 30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3" name="Text 30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4" name="Text 30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5" name="Text 30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6" name="Text 30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7" name="Text 30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8" name="Text 30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09" name="Text 31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0" name="Text 31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1" name="Text 31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2" name="Text 31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3" name="Text 31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4" name="Text 31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5" name="Text 31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6" name="Text 31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7" name="Text 31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8" name="Text 31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19" name="Text 32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0" name="Text 32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1" name="Text 32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2" name="Text 32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3" name="Text 32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4" name="Text 32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5" name="Text 32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6" name="Text 32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7" name="Text 32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8" name="Text 32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29" name="Text 33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0" name="Text 33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1" name="Text 33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2" name="Text 33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3" name="Text 33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4" name="Text 33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5" name="Text 33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6" name="Text 33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7" name="Text 33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8" name="Text 33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39" name="Text 34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0" name="Text 34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1" name="Text 34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2" name="Text 34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3" name="Text 34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4" name="Text 34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5" name="Text 34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6" name="Text 34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7" name="Text 34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8" name="Text 34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49" name="Text 35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0" name="Text 35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1" name="Text 35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2" name="Text 35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3" name="Text 35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4" name="Text 35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5" name="Text 35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6" name="Text 35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7" name="Text 35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8" name="Text 35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59" name="Text 36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0" name="Text 36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1" name="Text 36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2" name="Text 36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3" name="Text 36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4" name="Text 36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5" name="Text 36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6" name="Text 36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7" name="Text 36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8" name="Text 36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69" name="Text 37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0" name="Text 37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1" name="Text 37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2" name="Text 37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3" name="Text 37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4" name="Text 37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5" name="Text 37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6" name="Text 37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7" name="Text 37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8" name="Text 37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79" name="Text 38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0" name="Text 38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1" name="Text 38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2" name="Text 38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3" name="Text 38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4" name="Text 38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5" name="Text 38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6" name="Text 38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7" name="Text 38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8" name="Text 38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89" name="Text 39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0" name="Text 39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1" name="Text 39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2" name="Text 39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3" name="Text 39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4" name="Text 39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5" name="Text 39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6" name="Text 39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7" name="Text 39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8" name="Text 39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399" name="Text 40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0" name="Text 40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1" name="Text 40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2" name="Text 40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3" name="Text 40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4" name="Text 40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5" name="Text 40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6" name="Text 40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7" name="Text 40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8" name="Text 40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09" name="Text 41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0" name="Text 41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1" name="Text 41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2" name="Text 41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3" name="Text 41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4" name="Text 41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5" name="Text 41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6" name="Text 41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7" name="Text 41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8" name="Text 41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19" name="Text 42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0" name="Text 42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1" name="Text 42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2" name="Text 42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3" name="Text 42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4" name="Text 42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5" name="Text 42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6" name="Text 42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7" name="Text 42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8" name="Text 42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29" name="Text 43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0" name="Text 43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1" name="Text 43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2" name="Text 43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3" name="Text 43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4" name="Text 43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5" name="Text 43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6" name="Text 43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7" name="Text 43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8" name="Text 43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39" name="Text 44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0" name="Text 44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1" name="Text 44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2" name="Text 44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3" name="Text 44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4" name="Text 44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5" name="Text 44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6" name="Text 44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7" name="Text 44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8" name="Text 44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49" name="Text 45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0" name="Text 45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1" name="Text 45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2" name="Text 45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3" name="Text 45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4" name="Text 45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5" name="Text 45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6" name="Text 45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7" name="Text 45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8" name="Text 45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59" name="Text 46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0" name="Text 46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1" name="Text 46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2" name="Text 46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3" name="Text 46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4" name="Text 46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5" name="Text 46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6" name="Text 46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7" name="Text 46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8" name="Text 46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69" name="Text 47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0" name="Text 47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1" name="Text 47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2" name="Text 47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3" name="Text 47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4" name="Text 47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5" name="Text 47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6" name="Text 47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7" name="Text 47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8" name="Text 47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79" name="Text 48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0" name="Text 48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1" name="Text 48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2" name="Text 48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3" name="Text 48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4" name="Text 48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5" name="Text 48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6" name="Text 48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7" name="Text 48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8" name="Text 48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89" name="Text 49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0" name="Text 49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1" name="Text 49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2" name="Text 49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3" name="Text 49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4" name="Text 49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5" name="Text 49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6" name="Text 49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7" name="Text 49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8" name="Text 49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499" name="Text 50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0" name="Text 50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1" name="Text 50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2" name="Text 50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3" name="Text 50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4" name="Text 50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5" name="Text 50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6" name="Text 50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7" name="Text 50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8" name="Text 50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09" name="Text 51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0" name="Text 51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1" name="Text 51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2" name="Text 51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3" name="Text 51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4" name="Text 51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5" name="Text 51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6" name="Text 51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7" name="Text 51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8" name="Text 51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19" name="Text 52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0" name="Text 52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1" name="Text 52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2" name="Text 52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3" name="Text 52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4" name="Text 52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5" name="Text 52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6" name="Text 52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7" name="Text 52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8" name="Text 52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29" name="Text 53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0" name="Text 53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1" name="Text 53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2" name="Text 53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3" name="Text 53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4" name="Text 535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5" name="Text 536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6" name="Text 537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7" name="Text 538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8" name="Text 539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39" name="Text 540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40" name="Text 541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41" name="Text 542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42" name="Text 543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81000</xdr:colOff>
      <xdr:row>9</xdr:row>
      <xdr:rowOff>38160</xdr:rowOff>
    </xdr:to>
    <xdr:sp>
      <xdr:nvSpPr>
        <xdr:cNvPr id="543" name="Text 544"/>
        <xdr:cNvSpPr/>
      </xdr:nvSpPr>
      <xdr:spPr>
        <a:xfrm>
          <a:off x="8316000" y="129528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44" name="Text 545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45" name="Text 546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46" name="Text 547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47" name="Text 548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48" name="Text 549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49" name="Text 550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0" name="Text 551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1" name="Text 552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2" name="Text 553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3" name="Text 554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4" name="Text 555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5" name="Text 556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6" name="Text 557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7" name="Text 558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8" name="Text 559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81000</xdr:colOff>
      <xdr:row>10</xdr:row>
      <xdr:rowOff>37800</xdr:rowOff>
    </xdr:to>
    <xdr:sp>
      <xdr:nvSpPr>
        <xdr:cNvPr id="559" name="Text 560"/>
        <xdr:cNvSpPr/>
      </xdr:nvSpPr>
      <xdr:spPr>
        <a:xfrm>
          <a:off x="8316000" y="1457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0" name="Text 561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1" name="Text 562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2" name="Text 563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3" name="Text 564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4" name="Text 565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5" name="Text 566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6" name="Text 567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7" name="Text 568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8" name="Text 569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69" name="Text 570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70" name="Text 571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71" name="Text 572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72" name="Text 573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73" name="Text 574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74" name="Text 575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81000</xdr:colOff>
      <xdr:row>11</xdr:row>
      <xdr:rowOff>37800</xdr:rowOff>
    </xdr:to>
    <xdr:sp>
      <xdr:nvSpPr>
        <xdr:cNvPr id="575" name="Text 576"/>
        <xdr:cNvSpPr/>
      </xdr:nvSpPr>
      <xdr:spPr>
        <a:xfrm>
          <a:off x="8316000" y="1619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76" name="Text 577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77" name="Text 578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78" name="Text 579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79" name="Text 580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0" name="Text 581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1" name="Text 582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2" name="Text 583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3" name="Text 584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4" name="Text 585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5" name="Text 586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6" name="Text 587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7" name="Text 588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8" name="Text 589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89" name="Text 590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90" name="Text 591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81000</xdr:colOff>
      <xdr:row>12</xdr:row>
      <xdr:rowOff>37800</xdr:rowOff>
    </xdr:to>
    <xdr:sp>
      <xdr:nvSpPr>
        <xdr:cNvPr id="591" name="Text 592"/>
        <xdr:cNvSpPr/>
      </xdr:nvSpPr>
      <xdr:spPr>
        <a:xfrm>
          <a:off x="8316000" y="1781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2" name="Text 593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3" name="Text 594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4" name="Text 595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5" name="Text 596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6" name="Text 597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7" name="Text 598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8" name="Text 599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599" name="Text 600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0" name="Text 601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1" name="Text 602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2" name="Text 603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3" name="Text 604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4" name="Text 605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5" name="Text 606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6" name="Text 607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81000</xdr:colOff>
      <xdr:row>13</xdr:row>
      <xdr:rowOff>38160</xdr:rowOff>
    </xdr:to>
    <xdr:sp>
      <xdr:nvSpPr>
        <xdr:cNvPr id="607" name="Text 608"/>
        <xdr:cNvSpPr/>
      </xdr:nvSpPr>
      <xdr:spPr>
        <a:xfrm>
          <a:off x="8316000" y="194328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08" name="Text 609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09" name="Text 610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0" name="Text 611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1" name="Text 612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2" name="Text 613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3" name="Text 614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4" name="Text 615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5" name="Text 616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6" name="Text 617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7" name="Text 618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8" name="Text 619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19" name="Text 620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20" name="Text 621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21" name="Text 622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22" name="Text 623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81000</xdr:colOff>
      <xdr:row>14</xdr:row>
      <xdr:rowOff>38160</xdr:rowOff>
    </xdr:to>
    <xdr:sp>
      <xdr:nvSpPr>
        <xdr:cNvPr id="623" name="Text 624"/>
        <xdr:cNvSpPr/>
      </xdr:nvSpPr>
      <xdr:spPr>
        <a:xfrm>
          <a:off x="8316000" y="210492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24" name="Text 625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25" name="Text 626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26" name="Text 627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27" name="Text 628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28" name="Text 629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29" name="Text 630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0" name="Text 631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1" name="Text 632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2" name="Text 633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3" name="Text 634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4" name="Text 635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5" name="Text 636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6" name="Text 637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7" name="Text 638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8" name="Text 639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81000</xdr:colOff>
      <xdr:row>15</xdr:row>
      <xdr:rowOff>37800</xdr:rowOff>
    </xdr:to>
    <xdr:sp>
      <xdr:nvSpPr>
        <xdr:cNvPr id="639" name="Text 640"/>
        <xdr:cNvSpPr/>
      </xdr:nvSpPr>
      <xdr:spPr>
        <a:xfrm>
          <a:off x="8316000" y="2266920"/>
          <a:ext cx="810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0" name="Text 1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1" name="Text 2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2" name="Text 3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3" name="Text 4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4" name="Text 5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5" name="Text 6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6" name="Text 7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647" name="Text 8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48" name="Text 9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49" name="Text 10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0" name="Text 11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1" name="Text 12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2" name="Text 13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3" name="Text 14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4" name="Text 15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5" name="Text 16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6" name="Text 17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7" name="Text 18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8" name="Text 19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59" name="Text 20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60" name="Text 21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61" name="Text 22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62" name="Text 23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663" name="Text 24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64" name="Text 25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65" name="Text 26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66" name="Text 27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67" name="Text 28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68" name="Text 29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69" name="Text 30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0" name="Text 31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1" name="Text 32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2" name="Text 33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3" name="Text 34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4" name="Text 35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5" name="Text 36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6" name="Text 37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7" name="Text 38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8" name="Text 39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679" name="Text 40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0" name="Text 41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1" name="Text 42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2" name="Text 43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3" name="Text 44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4" name="Text 45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5" name="Text 46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6" name="Text 47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7" name="Text 48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8" name="Text 49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89" name="Text 50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90" name="Text 51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91" name="Text 52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92" name="Text 53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93" name="Text 54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94" name="Text 55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695" name="Text 56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696" name="Text 57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697" name="Text 58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698" name="Text 59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699" name="Text 60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0" name="Text 61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1" name="Text 62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2" name="Text 63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3" name="Text 64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4" name="Text 65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5" name="Text 66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6" name="Text 67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7" name="Text 68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8" name="Text 69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09" name="Text 70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10" name="Text 71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711" name="Text 72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2" name="Text 73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3" name="Text 74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4" name="Text 75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5" name="Text 76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6" name="Text 77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7" name="Text 78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8" name="Text 79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19" name="Text 80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0" name="Text 81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1" name="Text 82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2" name="Text 83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3" name="Text 84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4" name="Text 85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5" name="Text 86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6" name="Text 87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727" name="Text 88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28" name="Text 8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29" name="Text 9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0" name="Text 9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1" name="Text 9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2" name="Text 9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3" name="Text 9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4" name="Text 9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5" name="Text 9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6" name="Text 9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7" name="Text 9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8" name="Text 9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39" name="Text 10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0" name="Text 10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1" name="Text 10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2" name="Text 10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3" name="Text 10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4" name="Text 10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5" name="Text 10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6" name="Text 10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7" name="Text 10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8" name="Text 10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49" name="Text 11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0" name="Text 11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1" name="Text 11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2" name="Text 11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3" name="Text 11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4" name="Text 11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5" name="Text 11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6" name="Text 11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7" name="Text 11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8" name="Text 11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59" name="Text 12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0" name="Text 12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1" name="Text 12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2" name="Text 12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3" name="Text 12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4" name="Text 12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5" name="Text 12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6" name="Text 12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7" name="Text 12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8" name="Text 12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69" name="Text 13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0" name="Text 13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1" name="Text 13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2" name="Text 13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3" name="Text 13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4" name="Text 13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5" name="Text 13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6" name="Text 13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7" name="Text 13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8" name="Text 13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79" name="Text 14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0" name="Text 14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1" name="Text 14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2" name="Text 14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3" name="Text 14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4" name="Text 14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5" name="Text 14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6" name="Text 14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7" name="Text 14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8" name="Text 14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89" name="Text 15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0" name="Text 15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1" name="Text 15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2" name="Text 15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3" name="Text 15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4" name="Text 15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5" name="Text 15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6" name="Text 15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7" name="Text 15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8" name="Text 15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799" name="Text 16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0" name="Text 16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1" name="Text 16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2" name="Text 16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3" name="Text 16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4" name="Text 16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5" name="Text 16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6" name="Text 16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7" name="Text 16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8" name="Text 16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09" name="Text 17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0" name="Text 17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1" name="Text 17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2" name="Text 17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3" name="Text 17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4" name="Text 17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5" name="Text 17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6" name="Text 17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7" name="Text 17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8" name="Text 17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19" name="Text 18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0" name="Text 18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1" name="Text 18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2" name="Text 18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3" name="Text 18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4" name="Text 18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5" name="Text 18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6" name="Text 18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7" name="Text 18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8" name="Text 18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29" name="Text 19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0" name="Text 19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1" name="Text 19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2" name="Text 19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3" name="Text 19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4" name="Text 19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5" name="Text 19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6" name="Text 19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7" name="Text 19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8" name="Text 19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39" name="Text 20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0" name="Text 20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1" name="Text 20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2" name="Text 20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3" name="Text 20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4" name="Text 20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5" name="Text 20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6" name="Text 20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7" name="Text 20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8" name="Text 20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49" name="Text 21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0" name="Text 21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1" name="Text 21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2" name="Text 21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3" name="Text 21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4" name="Text 21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5" name="Text 21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6" name="Text 21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7" name="Text 21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8" name="Text 21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59" name="Text 22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0" name="Text 22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1" name="Text 22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2" name="Text 22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3" name="Text 22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4" name="Text 22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5" name="Text 22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6" name="Text 22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7" name="Text 22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8" name="Text 22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69" name="Text 23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0" name="Text 23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1" name="Text 23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2" name="Text 23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3" name="Text 23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4" name="Text 23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5" name="Text 23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6" name="Text 23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7" name="Text 23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8" name="Text 23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79" name="Text 24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0" name="Text 24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1" name="Text 24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2" name="Text 24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3" name="Text 24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4" name="Text 24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5" name="Text 24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6" name="Text 24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7" name="Text 24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8" name="Text 24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89" name="Text 25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0" name="Text 25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1" name="Text 25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2" name="Text 25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3" name="Text 25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4" name="Text 25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5" name="Text 25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6" name="Text 25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7" name="Text 25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8" name="Text 25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899" name="Text 26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0" name="Text 26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1" name="Text 26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2" name="Text 26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3" name="Text 26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4" name="Text 26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5" name="Text 26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6" name="Text 26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7" name="Text 26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8" name="Text 26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09" name="Text 27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0" name="Text 27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1" name="Text 27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2" name="Text 27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3" name="Text 27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4" name="Text 27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5" name="Text 27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6" name="Text 27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7" name="Text 27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8" name="Text 27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19" name="Text 28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0" name="Text 28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1" name="Text 28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2" name="Text 28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3" name="Text 28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4" name="Text 28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5" name="Text 28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6" name="Text 28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7" name="Text 28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8" name="Text 28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29" name="Text 29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0" name="Text 29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1" name="Text 29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2" name="Text 29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3" name="Text 29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4" name="Text 29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5" name="Text 29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6" name="Text 29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7" name="Text 29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8" name="Text 29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39" name="Text 30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40" name="Text 30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41" name="Text 30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42" name="Text 30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943" name="Text 30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44" name="Text 305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45" name="Text 306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46" name="Text 307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47" name="Text 308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48" name="Text 309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49" name="Text 310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50" name="Text 311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37800</xdr:rowOff>
    </xdr:to>
    <xdr:sp>
      <xdr:nvSpPr>
        <xdr:cNvPr id="951" name="Text 312"/>
        <xdr:cNvSpPr/>
      </xdr:nvSpPr>
      <xdr:spPr>
        <a:xfrm>
          <a:off x="7373520" y="333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2" name="Text 313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3" name="Text 314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4" name="Text 315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5" name="Text 316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6" name="Text 317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7" name="Text 318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8" name="Text 319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59" name="Text 320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0" name="Text 321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1" name="Text 322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2" name="Text 323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3" name="Text 324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4" name="Text 325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5" name="Text 326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6" name="Text 327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38160</xdr:rowOff>
    </xdr:to>
    <xdr:sp>
      <xdr:nvSpPr>
        <xdr:cNvPr id="967" name="Text 328"/>
        <xdr:cNvSpPr/>
      </xdr:nvSpPr>
      <xdr:spPr>
        <a:xfrm>
          <a:off x="7373520" y="6573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68" name="Text 329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69" name="Text 330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0" name="Text 331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1" name="Text 332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2" name="Text 333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3" name="Text 334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4" name="Text 335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5" name="Text 336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6" name="Text 337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7" name="Text 338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8" name="Text 339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79" name="Text 340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80" name="Text 341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81" name="Text 342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82" name="Text 343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38160</xdr:rowOff>
    </xdr:to>
    <xdr:sp>
      <xdr:nvSpPr>
        <xdr:cNvPr id="983" name="Text 344"/>
        <xdr:cNvSpPr/>
      </xdr:nvSpPr>
      <xdr:spPr>
        <a:xfrm>
          <a:off x="7373520" y="81900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84" name="Text 345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85" name="Text 346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86" name="Text 347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87" name="Text 348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88" name="Text 349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89" name="Text 350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0" name="Text 351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1" name="Text 352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2" name="Text 353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3" name="Text 354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4" name="Text 355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5" name="Text 356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6" name="Text 357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7" name="Text 358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8" name="Text 359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37800</xdr:rowOff>
    </xdr:to>
    <xdr:sp>
      <xdr:nvSpPr>
        <xdr:cNvPr id="999" name="Text 360"/>
        <xdr:cNvSpPr/>
      </xdr:nvSpPr>
      <xdr:spPr>
        <a:xfrm>
          <a:off x="7373520" y="981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0" name="Text 361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1" name="Text 362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2" name="Text 363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3" name="Text 364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4" name="Text 365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5" name="Text 366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6" name="Text 367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7" name="Text 368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8" name="Text 369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09" name="Text 370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10" name="Text 371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11" name="Text 372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12" name="Text 373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13" name="Text 374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14" name="Text 375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37800</xdr:rowOff>
    </xdr:to>
    <xdr:sp>
      <xdr:nvSpPr>
        <xdr:cNvPr id="1015" name="Text 376"/>
        <xdr:cNvSpPr/>
      </xdr:nvSpPr>
      <xdr:spPr>
        <a:xfrm>
          <a:off x="7373520" y="1143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16" name="Text 377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17" name="Text 378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18" name="Text 379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19" name="Text 380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0" name="Text 381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1" name="Text 382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2" name="Text 383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3" name="Text 384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4" name="Text 385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5" name="Text 386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6" name="Text 387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7" name="Text 388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8" name="Text 389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29" name="Text 390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30" name="Text 391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031" name="Text 392"/>
        <xdr:cNvSpPr/>
      </xdr:nvSpPr>
      <xdr:spPr>
        <a:xfrm>
          <a:off x="7373520" y="1305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2" name="Text 39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3" name="Text 39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4" name="Text 39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5" name="Text 39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6" name="Text 39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7" name="Text 39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8" name="Text 39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39" name="Text 40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0" name="Text 40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1" name="Text 40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2" name="Text 40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3" name="Text 40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4" name="Text 40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5" name="Text 40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6" name="Text 40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7" name="Text 40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8" name="Text 40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49" name="Text 41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0" name="Text 41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1" name="Text 41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2" name="Text 41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3" name="Text 41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4" name="Text 41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5" name="Text 41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6" name="Text 41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7" name="Text 41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8" name="Text 41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59" name="Text 42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0" name="Text 42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1" name="Text 42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2" name="Text 42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3" name="Text 42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4" name="Text 42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5" name="Text 42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6" name="Text 42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7" name="Text 42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8" name="Text 42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69" name="Text 43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0" name="Text 43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1" name="Text 43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2" name="Text 43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3" name="Text 43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4" name="Text 43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5" name="Text 43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6" name="Text 43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7" name="Text 43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8" name="Text 43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79" name="Text 44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0" name="Text 44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1" name="Text 44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2" name="Text 44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3" name="Text 44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4" name="Text 44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5" name="Text 44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6" name="Text 44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7" name="Text 44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8" name="Text 44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89" name="Text 45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0" name="Text 45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1" name="Text 45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2" name="Text 45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3" name="Text 45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4" name="Text 45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5" name="Text 45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6" name="Text 45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7" name="Text 45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8" name="Text 45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099" name="Text 46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0" name="Text 46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1" name="Text 46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2" name="Text 46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3" name="Text 46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4" name="Text 46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5" name="Text 46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6" name="Text 46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7" name="Text 46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8" name="Text 46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09" name="Text 47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0" name="Text 47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1" name="Text 47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2" name="Text 47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3" name="Text 47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4" name="Text 47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5" name="Text 47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6" name="Text 47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7" name="Text 47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8" name="Text 47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19" name="Text 48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0" name="Text 48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1" name="Text 48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2" name="Text 48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3" name="Text 48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4" name="Text 48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5" name="Text 48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6" name="Text 48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7" name="Text 48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8" name="Text 48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29" name="Text 49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0" name="Text 49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1" name="Text 49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2" name="Text 49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3" name="Text 49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4" name="Text 49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5" name="Text 49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6" name="Text 49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7" name="Text 49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8" name="Text 49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39" name="Text 50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0" name="Text 50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1" name="Text 50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2" name="Text 50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3" name="Text 50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4" name="Text 50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5" name="Text 50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6" name="Text 50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7" name="Text 50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8" name="Text 50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49" name="Text 51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0" name="Text 51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1" name="Text 51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2" name="Text 51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3" name="Text 51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4" name="Text 51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5" name="Text 51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6" name="Text 51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7" name="Text 51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8" name="Text 51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59" name="Text 52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0" name="Text 52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1" name="Text 52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2" name="Text 52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3" name="Text 52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4" name="Text 52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5" name="Text 52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6" name="Text 52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7" name="Text 52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8" name="Text 52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69" name="Text 53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0" name="Text 53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1" name="Text 53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2" name="Text 53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3" name="Text 53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4" name="Text 53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5" name="Text 53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6" name="Text 53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7" name="Text 53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8" name="Text 53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79" name="Text 54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0" name="Text 54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1" name="Text 54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2" name="Text 54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3" name="Text 54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4" name="Text 54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5" name="Text 54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6" name="Text 54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7" name="Text 54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8" name="Text 54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89" name="Text 55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0" name="Text 55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1" name="Text 55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2" name="Text 55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3" name="Text 55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4" name="Text 55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5" name="Text 55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6" name="Text 55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7" name="Text 55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8" name="Text 55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199" name="Text 56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0" name="Text 56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1" name="Text 56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2" name="Text 56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3" name="Text 56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4" name="Text 56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5" name="Text 56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6" name="Text 56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7" name="Text 56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8" name="Text 56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09" name="Text 57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0" name="Text 57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1" name="Text 57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2" name="Text 57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3" name="Text 57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4" name="Text 57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5" name="Text 57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6" name="Text 57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7" name="Text 57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8" name="Text 57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19" name="Text 58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0" name="Text 58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1" name="Text 58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2" name="Text 58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3" name="Text 58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4" name="Text 58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5" name="Text 58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6" name="Text 58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7" name="Text 58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8" name="Text 58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29" name="Text 59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0" name="Text 59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1" name="Text 59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2" name="Text 59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3" name="Text 59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4" name="Text 59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5" name="Text 59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6" name="Text 59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7" name="Text 59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8" name="Text 599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39" name="Text 600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0" name="Text 601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1" name="Text 602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2" name="Text 603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3" name="Text 604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4" name="Text 605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5" name="Text 606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6" name="Text 607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38160</xdr:rowOff>
    </xdr:to>
    <xdr:sp>
      <xdr:nvSpPr>
        <xdr:cNvPr id="1247" name="Text 608"/>
        <xdr:cNvSpPr/>
      </xdr:nvSpPr>
      <xdr:spPr>
        <a:xfrm>
          <a:off x="7373520" y="146700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48" name="Text 1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49" name="Text 2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0" name="Text 3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1" name="Text 4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2" name="Text 5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3" name="Text 6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4" name="Text 7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5" name="Text 8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6" name="Text 9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7" name="Text 10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8" name="Text 11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59" name="Text 12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0" name="Text 13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1" name="Text 14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2" name="Text 15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3" name="Text 16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4" name="Text 17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5" name="Text 18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6" name="Text 19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7" name="Text 20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8" name="Text 21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69" name="Text 22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0" name="Text 23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1" name="Text 24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2" name="Text 25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3" name="Text 26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4" name="Text 27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5" name="Text 28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6" name="Text 29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7" name="Text 30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8" name="Text 31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81360</xdr:colOff>
      <xdr:row>2</xdr:row>
      <xdr:rowOff>38160</xdr:rowOff>
    </xdr:to>
    <xdr:sp>
      <xdr:nvSpPr>
        <xdr:cNvPr id="1279" name="Text 32"/>
        <xdr:cNvSpPr/>
      </xdr:nvSpPr>
      <xdr:spPr>
        <a:xfrm>
          <a:off x="7212240" y="21924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0" name="Text 33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1" name="Text 34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2" name="Text 35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3" name="Text 36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4" name="Text 37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5" name="Text 38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6" name="Text 39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7" name="Text 40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8" name="Text 41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89" name="Text 42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90" name="Text 43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91" name="Text 44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92" name="Text 45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93" name="Text 46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94" name="Text 47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81360</xdr:colOff>
      <xdr:row>3</xdr:row>
      <xdr:rowOff>38160</xdr:rowOff>
    </xdr:to>
    <xdr:sp>
      <xdr:nvSpPr>
        <xdr:cNvPr id="1295" name="Text 48"/>
        <xdr:cNvSpPr/>
      </xdr:nvSpPr>
      <xdr:spPr>
        <a:xfrm>
          <a:off x="7212240" y="38088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296" name="Text 49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297" name="Text 50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298" name="Text 51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299" name="Text 52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0" name="Text 53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1" name="Text 54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2" name="Text 55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3" name="Text 56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4" name="Text 57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5" name="Text 58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6" name="Text 59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7" name="Text 60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8" name="Text 61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09" name="Text 62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10" name="Text 63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81360</xdr:colOff>
      <xdr:row>4</xdr:row>
      <xdr:rowOff>37800</xdr:rowOff>
    </xdr:to>
    <xdr:sp>
      <xdr:nvSpPr>
        <xdr:cNvPr id="1311" name="Text 64"/>
        <xdr:cNvSpPr/>
      </xdr:nvSpPr>
      <xdr:spPr>
        <a:xfrm>
          <a:off x="7212240" y="542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2" name="Text 65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3" name="Text 66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4" name="Text 67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5" name="Text 68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6" name="Text 69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7" name="Text 70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8" name="Text 71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19" name="Text 72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0" name="Text 73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1" name="Text 74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2" name="Text 75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3" name="Text 76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4" name="Text 77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5" name="Text 78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6" name="Text 79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81360</xdr:colOff>
      <xdr:row>5</xdr:row>
      <xdr:rowOff>37800</xdr:rowOff>
    </xdr:to>
    <xdr:sp>
      <xdr:nvSpPr>
        <xdr:cNvPr id="1327" name="Text 80"/>
        <xdr:cNvSpPr/>
      </xdr:nvSpPr>
      <xdr:spPr>
        <a:xfrm>
          <a:off x="7212240" y="704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28" name="Text 81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29" name="Text 82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0" name="Text 83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1" name="Text 84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2" name="Text 85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3" name="Text 86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4" name="Text 87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5" name="Text 88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6" name="Text 89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7" name="Text 90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8" name="Text 91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39" name="Text 92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40" name="Text 93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41" name="Text 94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42" name="Text 95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81360</xdr:colOff>
      <xdr:row>6</xdr:row>
      <xdr:rowOff>37800</xdr:rowOff>
    </xdr:to>
    <xdr:sp>
      <xdr:nvSpPr>
        <xdr:cNvPr id="1343" name="Text 96"/>
        <xdr:cNvSpPr/>
      </xdr:nvSpPr>
      <xdr:spPr>
        <a:xfrm>
          <a:off x="7212240" y="866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44" name="Text 97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45" name="Text 98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46" name="Text 99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47" name="Text 100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48" name="Text 101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49" name="Text 102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0" name="Text 103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1" name="Text 104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2" name="Text 105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3" name="Text 106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4" name="Text 107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5" name="Text 108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6" name="Text 109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7" name="Text 110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8" name="Text 111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81360</xdr:colOff>
      <xdr:row>7</xdr:row>
      <xdr:rowOff>38160</xdr:rowOff>
    </xdr:to>
    <xdr:sp>
      <xdr:nvSpPr>
        <xdr:cNvPr id="1359" name="Text 112"/>
        <xdr:cNvSpPr/>
      </xdr:nvSpPr>
      <xdr:spPr>
        <a:xfrm>
          <a:off x="7212240" y="102888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0" name="Text 113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1" name="Text 114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2" name="Text 115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3" name="Text 116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4" name="Text 117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5" name="Text 118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6" name="Text 119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7" name="Text 120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8" name="Text 121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69" name="Text 122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70" name="Text 123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71" name="Text 124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72" name="Text 125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73" name="Text 126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74" name="Text 127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81360</xdr:colOff>
      <xdr:row>8</xdr:row>
      <xdr:rowOff>38160</xdr:rowOff>
    </xdr:to>
    <xdr:sp>
      <xdr:nvSpPr>
        <xdr:cNvPr id="1375" name="Text 128"/>
        <xdr:cNvSpPr/>
      </xdr:nvSpPr>
      <xdr:spPr>
        <a:xfrm>
          <a:off x="7212240" y="119052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76" name="Text 12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77" name="Text 13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78" name="Text 13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79" name="Text 13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0" name="Text 13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1" name="Text 13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2" name="Text 13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3" name="Text 13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4" name="Text 13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5" name="Text 13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6" name="Text 13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7" name="Text 14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8" name="Text 14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89" name="Text 14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0" name="Text 14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1" name="Text 14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2" name="Text 14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3" name="Text 14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4" name="Text 14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5" name="Text 14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6" name="Text 14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7" name="Text 15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8" name="Text 15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399" name="Text 15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0" name="Text 15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1" name="Text 15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2" name="Text 15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3" name="Text 15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4" name="Text 15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5" name="Text 15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6" name="Text 15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7" name="Text 16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8" name="Text 16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09" name="Text 16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0" name="Text 16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1" name="Text 16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2" name="Text 16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3" name="Text 16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4" name="Text 16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5" name="Text 16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6" name="Text 16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7" name="Text 17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8" name="Text 17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19" name="Text 17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0" name="Text 17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1" name="Text 17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2" name="Text 17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3" name="Text 17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4" name="Text 17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5" name="Text 17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6" name="Text 17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7" name="Text 18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8" name="Text 18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29" name="Text 18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0" name="Text 18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1" name="Text 18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2" name="Text 18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3" name="Text 18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4" name="Text 18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5" name="Text 18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6" name="Text 18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7" name="Text 19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8" name="Text 19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39" name="Text 19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0" name="Text 19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1" name="Text 19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2" name="Text 19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3" name="Text 19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4" name="Text 19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5" name="Text 19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6" name="Text 19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7" name="Text 20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8" name="Text 20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49" name="Text 20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0" name="Text 20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1" name="Text 20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2" name="Text 20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3" name="Text 20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4" name="Text 20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5" name="Text 20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6" name="Text 20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7" name="Text 21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8" name="Text 21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59" name="Text 21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0" name="Text 21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1" name="Text 21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2" name="Text 21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3" name="Text 21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4" name="Text 21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5" name="Text 21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6" name="Text 21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7" name="Text 22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8" name="Text 22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69" name="Text 22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0" name="Text 22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1" name="Text 22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2" name="Text 22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3" name="Text 22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4" name="Text 22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5" name="Text 22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6" name="Text 22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7" name="Text 23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8" name="Text 23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79" name="Text 23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0" name="Text 23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1" name="Text 23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2" name="Text 23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3" name="Text 23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4" name="Text 23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5" name="Text 23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6" name="Text 23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7" name="Text 24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8" name="Text 24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89" name="Text 24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0" name="Text 24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1" name="Text 24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2" name="Text 24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3" name="Text 24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4" name="Text 24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5" name="Text 24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6" name="Text 24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7" name="Text 25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8" name="Text 25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499" name="Text 25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0" name="Text 25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1" name="Text 25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2" name="Text 25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3" name="Text 25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4" name="Text 25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5" name="Text 25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6" name="Text 25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7" name="Text 26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8" name="Text 26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09" name="Text 26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0" name="Text 26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1" name="Text 26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2" name="Text 26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3" name="Text 26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4" name="Text 26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5" name="Text 26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6" name="Text 26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7" name="Text 27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8" name="Text 27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19" name="Text 27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0" name="Text 27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1" name="Text 27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2" name="Text 27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3" name="Text 27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4" name="Text 27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5" name="Text 27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6" name="Text 27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7" name="Text 28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8" name="Text 28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29" name="Text 28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0" name="Text 28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1" name="Text 28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2" name="Text 28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3" name="Text 28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4" name="Text 28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5" name="Text 28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6" name="Text 28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7" name="Text 29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8" name="Text 29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39" name="Text 29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0" name="Text 29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1" name="Text 29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2" name="Text 29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3" name="Text 29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4" name="Text 29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5" name="Text 29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6" name="Text 29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7" name="Text 30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8" name="Text 30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49" name="Text 30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0" name="Text 30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1" name="Text 30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2" name="Text 30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3" name="Text 30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4" name="Text 30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5" name="Text 30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6" name="Text 30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7" name="Text 31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8" name="Text 31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59" name="Text 31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0" name="Text 31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1" name="Text 31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2" name="Text 31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3" name="Text 31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4" name="Text 31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5" name="Text 31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6" name="Text 31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7" name="Text 32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8" name="Text 32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69" name="Text 32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0" name="Text 32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1" name="Text 32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2" name="Text 32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3" name="Text 32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4" name="Text 32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5" name="Text 32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6" name="Text 32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7" name="Text 33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8" name="Text 33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79" name="Text 33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0" name="Text 33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1" name="Text 33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2" name="Text 33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3" name="Text 33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4" name="Text 33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5" name="Text 33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6" name="Text 33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7" name="Text 34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8" name="Text 34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89" name="Text 34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0" name="Text 34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1" name="Text 34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2" name="Text 34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3" name="Text 34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4" name="Text 34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5" name="Text 34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6" name="Text 34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7" name="Text 35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8" name="Text 35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599" name="Text 35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0" name="Text 35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1" name="Text 35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2" name="Text 35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3" name="Text 35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4" name="Text 35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5" name="Text 35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6" name="Text 35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7" name="Text 36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8" name="Text 36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09" name="Text 36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0" name="Text 36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1" name="Text 36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2" name="Text 36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3" name="Text 36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4" name="Text 36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5" name="Text 36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6" name="Text 36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7" name="Text 37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8" name="Text 37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19" name="Text 37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0" name="Text 37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1" name="Text 37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2" name="Text 37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3" name="Text 37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4" name="Text 37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5" name="Text 37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6" name="Text 37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7" name="Text 38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8" name="Text 38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29" name="Text 38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0" name="Text 38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1" name="Text 38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2" name="Text 38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3" name="Text 38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4" name="Text 38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5" name="Text 38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6" name="Text 38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7" name="Text 39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8" name="Text 39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39" name="Text 39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0" name="Text 39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1" name="Text 39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2" name="Text 39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3" name="Text 39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4" name="Text 39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5" name="Text 39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6" name="Text 39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7" name="Text 40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8" name="Text 40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49" name="Text 40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0" name="Text 40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1" name="Text 40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2" name="Text 40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3" name="Text 40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4" name="Text 40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5" name="Text 40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6" name="Text 40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7" name="Text 41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8" name="Text 41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59" name="Text 41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0" name="Text 41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1" name="Text 41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2" name="Text 41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3" name="Text 41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4" name="Text 41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5" name="Text 41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6" name="Text 41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7" name="Text 42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8" name="Text 42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69" name="Text 42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0" name="Text 42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1" name="Text 42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2" name="Text 42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3" name="Text 42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4" name="Text 42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5" name="Text 42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6" name="Text 42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7" name="Text 43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8" name="Text 43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79" name="Text 43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0" name="Text 43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1" name="Text 43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2" name="Text 43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3" name="Text 43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4" name="Text 43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5" name="Text 43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6" name="Text 43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7" name="Text 44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8" name="Text 44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89" name="Text 44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0" name="Text 44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1" name="Text 44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2" name="Text 44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3" name="Text 44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4" name="Text 44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5" name="Text 44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6" name="Text 44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7" name="Text 45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8" name="Text 45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699" name="Text 45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0" name="Text 45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1" name="Text 45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2" name="Text 45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3" name="Text 45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4" name="Text 45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5" name="Text 45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6" name="Text 45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7" name="Text 46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8" name="Text 46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09" name="Text 46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0" name="Text 46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1" name="Text 46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2" name="Text 46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3" name="Text 46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4" name="Text 46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5" name="Text 46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6" name="Text 46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7" name="Text 47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8" name="Text 47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19" name="Text 47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0" name="Text 47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1" name="Text 47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2" name="Text 47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3" name="Text 47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4" name="Text 47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5" name="Text 47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6" name="Text 47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7" name="Text 48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8" name="Text 48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29" name="Text 48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0" name="Text 48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1" name="Text 48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2" name="Text 48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3" name="Text 48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4" name="Text 48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5" name="Text 48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6" name="Text 48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7" name="Text 49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8" name="Text 49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39" name="Text 49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0" name="Text 49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1" name="Text 49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2" name="Text 49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3" name="Text 49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4" name="Text 49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5" name="Text 49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6" name="Text 49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7" name="Text 50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8" name="Text 50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49" name="Text 50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0" name="Text 50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1" name="Text 50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2" name="Text 50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3" name="Text 50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4" name="Text 50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5" name="Text 50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6" name="Text 50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7" name="Text 51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8" name="Text 51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59" name="Text 51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0" name="Text 51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1" name="Text 51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2" name="Text 51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3" name="Text 51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4" name="Text 51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5" name="Text 51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6" name="Text 51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7" name="Text 52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8" name="Text 52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69" name="Text 52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0" name="Text 52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1" name="Text 52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2" name="Text 52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3" name="Text 52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4" name="Text 52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5" name="Text 52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6" name="Text 52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7" name="Text 53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8" name="Text 53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79" name="Text 53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0" name="Text 53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1" name="Text 53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2" name="Text 535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3" name="Text 536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4" name="Text 537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5" name="Text 538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6" name="Text 539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7" name="Text 540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8" name="Text 541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89" name="Text 542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90" name="Text 543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81360</xdr:colOff>
      <xdr:row>9</xdr:row>
      <xdr:rowOff>37800</xdr:rowOff>
    </xdr:to>
    <xdr:sp>
      <xdr:nvSpPr>
        <xdr:cNvPr id="1791" name="Text 544"/>
        <xdr:cNvSpPr/>
      </xdr:nvSpPr>
      <xdr:spPr>
        <a:xfrm>
          <a:off x="7212240" y="1352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2" name="Text 545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3" name="Text 546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4" name="Text 547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5" name="Text 548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6" name="Text 549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7" name="Text 550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8" name="Text 551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799" name="Text 552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0" name="Text 553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1" name="Text 554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2" name="Text 555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3" name="Text 556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4" name="Text 557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5" name="Text 558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6" name="Text 559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81360</xdr:colOff>
      <xdr:row>10</xdr:row>
      <xdr:rowOff>37800</xdr:rowOff>
    </xdr:to>
    <xdr:sp>
      <xdr:nvSpPr>
        <xdr:cNvPr id="1807" name="Text 560"/>
        <xdr:cNvSpPr/>
      </xdr:nvSpPr>
      <xdr:spPr>
        <a:xfrm>
          <a:off x="7212240" y="1514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08" name="Text 561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09" name="Text 562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0" name="Text 563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1" name="Text 564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2" name="Text 565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3" name="Text 566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4" name="Text 567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5" name="Text 568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6" name="Text 569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7" name="Text 570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8" name="Text 571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19" name="Text 572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20" name="Text 573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21" name="Text 574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22" name="Text 575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81360</xdr:colOff>
      <xdr:row>11</xdr:row>
      <xdr:rowOff>38160</xdr:rowOff>
    </xdr:to>
    <xdr:sp>
      <xdr:nvSpPr>
        <xdr:cNvPr id="1823" name="Text 576"/>
        <xdr:cNvSpPr/>
      </xdr:nvSpPr>
      <xdr:spPr>
        <a:xfrm>
          <a:off x="7212240" y="167652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24" name="Text 577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25" name="Text 578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26" name="Text 579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27" name="Text 580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28" name="Text 581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29" name="Text 582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0" name="Text 583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1" name="Text 584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2" name="Text 585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3" name="Text 586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4" name="Text 587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5" name="Text 588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6" name="Text 589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7" name="Text 590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8" name="Text 591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81360</xdr:colOff>
      <xdr:row>12</xdr:row>
      <xdr:rowOff>38160</xdr:rowOff>
    </xdr:to>
    <xdr:sp>
      <xdr:nvSpPr>
        <xdr:cNvPr id="1839" name="Text 592"/>
        <xdr:cNvSpPr/>
      </xdr:nvSpPr>
      <xdr:spPr>
        <a:xfrm>
          <a:off x="7212240" y="1838160"/>
          <a:ext cx="813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0" name="Text 593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1" name="Text 594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2" name="Text 595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3" name="Text 596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4" name="Text 597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5" name="Text 598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6" name="Text 599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7" name="Text 600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8" name="Text 601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49" name="Text 602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50" name="Text 603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51" name="Text 604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52" name="Text 605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53" name="Text 606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54" name="Text 607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81360</xdr:colOff>
      <xdr:row>13</xdr:row>
      <xdr:rowOff>37800</xdr:rowOff>
    </xdr:to>
    <xdr:sp>
      <xdr:nvSpPr>
        <xdr:cNvPr id="1855" name="Text 608"/>
        <xdr:cNvSpPr/>
      </xdr:nvSpPr>
      <xdr:spPr>
        <a:xfrm>
          <a:off x="7212240" y="2000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56" name="Text 609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57" name="Text 610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58" name="Text 611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59" name="Text 612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0" name="Text 613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1" name="Text 614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2" name="Text 615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3" name="Text 616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4" name="Text 617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5" name="Text 618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6" name="Text 619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7" name="Text 620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8" name="Text 621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69" name="Text 622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70" name="Text 623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81360</xdr:colOff>
      <xdr:row>14</xdr:row>
      <xdr:rowOff>37800</xdr:rowOff>
    </xdr:to>
    <xdr:sp>
      <xdr:nvSpPr>
        <xdr:cNvPr id="1871" name="Text 624"/>
        <xdr:cNvSpPr/>
      </xdr:nvSpPr>
      <xdr:spPr>
        <a:xfrm>
          <a:off x="7212240" y="2162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2" name="Text 625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3" name="Text 626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4" name="Text 627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5" name="Text 628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6" name="Text 629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7" name="Text 630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8" name="Text 631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79" name="Text 632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0" name="Text 633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1" name="Text 634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2" name="Text 635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3" name="Text 636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4" name="Text 637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5" name="Text 638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6" name="Text 639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81360</xdr:colOff>
      <xdr:row>15</xdr:row>
      <xdr:rowOff>37800</xdr:rowOff>
    </xdr:to>
    <xdr:sp>
      <xdr:nvSpPr>
        <xdr:cNvPr id="1887" name="Text 640"/>
        <xdr:cNvSpPr/>
      </xdr:nvSpPr>
      <xdr:spPr>
        <a:xfrm>
          <a:off x="7212240" y="2324160"/>
          <a:ext cx="813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291240</xdr:colOff>
          <xdr:row>0</xdr:row>
          <xdr:rowOff>275760</xdr:rowOff>
        </xdr:from>
        <xdr:to>
          <xdr:col>17</xdr:col>
          <xdr:colOff>231840</xdr:colOff>
          <xdr:row>1</xdr:row>
          <xdr:rowOff>266760</xdr:rowOff>
        </xdr:to>
        <xdr:sp>
          <xdr:nvSpPr>
            <xdr:cNvPr id="1001" name="Button 1" descr="Click Here to Sort Hourly Scalars If You Pasted the Regional Power Curve Manuall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Sort Hourly Scalars If You Pasted the Regional Power Curve Manually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Pricing/Pwr_strc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anada%20Power%20Positions_Sept2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nada%20Power%20Positions_May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nada%20Power%20Positions_Apr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WR_curv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PS"/>
      <sheetName val="MAIN"/>
      <sheetName val="TAKE"/>
      <sheetName val="CALC"/>
      <sheetName val="Take Function"/>
      <sheetName val="Fetching Macros"/>
      <sheetName val="Pricing Macros"/>
      <sheetName val="Date Fun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aphs"/>
      <sheetName val="P&amp;L"/>
      <sheetName val="purchases"/>
      <sheetName val="positions"/>
      <sheetName val="price_curves"/>
      <sheetName val="Peak"/>
      <sheetName val="Off-Peak"/>
      <sheetName val="Gas Template"/>
      <sheetName val="All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ref_dt</v>
          </cell>
          <cell r="B1" t="str">
            <v>Book_ID</v>
          </cell>
          <cell r="C1" t="str">
            <v>book_type_cd</v>
          </cell>
          <cell r="D1" t="str">
            <v>reg_cd</v>
          </cell>
          <cell r="E1" t="str">
            <v>instr</v>
          </cell>
          <cell r="F1" t="str">
            <v>commodity</v>
          </cell>
          <cell r="G1" t="str">
            <v>F/P</v>
          </cell>
          <cell r="H1" t="str">
            <v>Location</v>
          </cell>
          <cell r="I1" t="str">
            <v>E/O</v>
          </cell>
          <cell r="J1" t="str">
            <v>ctrparty_cd</v>
          </cell>
          <cell r="K1" t="str">
            <v>Delta</v>
          </cell>
          <cell r="L1" t="str">
            <v>Gamma</v>
          </cell>
          <cell r="M1" t="str">
            <v>Gross_pos</v>
          </cell>
          <cell r="N1" t="str">
            <v>Crv_shift</v>
          </cell>
          <cell r="O1" t="str">
            <v>Baseline P/L</v>
          </cell>
          <cell r="P1" t="str">
            <v>Peakness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ll"/>
      <sheetName val="Non-Peak"/>
      <sheetName val="Peak"/>
      <sheetName val="summary_P&amp;L"/>
      <sheetName val="Sheet2"/>
      <sheetName val="Trades"/>
      <sheetName val="external_curves"/>
      <sheetName val="ROM_hrs"/>
      <sheetName val="Fwd_curves"/>
      <sheetName val="swap_model"/>
      <sheetName val="H-rate_model"/>
      <sheetName val="ab_gas_deal"/>
      <sheetName val="PJM_deal"/>
    </sheetNames>
    <sheetDataSet>
      <sheetData sheetId="0"/>
      <sheetData sheetId="1">
        <row r="2">
          <cell r="A2">
            <v>36647</v>
          </cell>
          <cell r="B2" t="str">
            <v>FT-CAN-PWRF-HDGI-PRC</v>
          </cell>
          <cell r="C2" t="str">
            <v>P</v>
          </cell>
          <cell r="D2" t="str">
            <v>DESK</v>
          </cell>
          <cell r="E2" t="str">
            <v>S</v>
          </cell>
          <cell r="F2" t="str">
            <v>PWR</v>
          </cell>
          <cell r="G2" t="str">
            <v>P</v>
          </cell>
          <cell r="H2" t="str">
            <v>R9</v>
          </cell>
          <cell r="I2" t="str">
            <v>E</v>
          </cell>
          <cell r="J2" t="str">
            <v>PWRCAN</v>
          </cell>
        </row>
        <row r="2"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O</v>
          </cell>
        </row>
        <row r="3">
          <cell r="A3">
            <v>36678</v>
          </cell>
          <cell r="B3" t="str">
            <v>FT-CAN-PWRF-HDGI-PRC</v>
          </cell>
          <cell r="C3" t="str">
            <v>P</v>
          </cell>
          <cell r="D3" t="str">
            <v>DESK</v>
          </cell>
          <cell r="E3" t="str">
            <v>S</v>
          </cell>
          <cell r="F3" t="str">
            <v>PWR</v>
          </cell>
          <cell r="G3" t="str">
            <v>P</v>
          </cell>
          <cell r="H3" t="str">
            <v>R9</v>
          </cell>
          <cell r="I3" t="str">
            <v>E</v>
          </cell>
          <cell r="J3" t="str">
            <v>PWRCAN</v>
          </cell>
        </row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O</v>
          </cell>
        </row>
        <row r="4">
          <cell r="A4">
            <v>36708</v>
          </cell>
          <cell r="B4" t="str">
            <v>FT-CAN-PWRF-HDGI-PRC</v>
          </cell>
          <cell r="C4" t="str">
            <v>P</v>
          </cell>
          <cell r="D4" t="str">
            <v>DESK</v>
          </cell>
          <cell r="E4" t="str">
            <v>S</v>
          </cell>
          <cell r="F4" t="str">
            <v>PWR</v>
          </cell>
          <cell r="G4" t="str">
            <v>P</v>
          </cell>
          <cell r="H4" t="str">
            <v>R9</v>
          </cell>
          <cell r="I4" t="str">
            <v>E</v>
          </cell>
          <cell r="J4" t="str">
            <v>PWRCAN</v>
          </cell>
        </row>
        <row r="4">
          <cell r="L4">
            <v>0</v>
          </cell>
          <cell r="M4">
            <v>0</v>
          </cell>
          <cell r="N4">
            <v>0</v>
          </cell>
          <cell r="O4">
            <v>0</v>
          </cell>
          <cell r="P4" t="str">
            <v>O</v>
          </cell>
        </row>
        <row r="5">
          <cell r="A5">
            <v>36739</v>
          </cell>
          <cell r="B5" t="str">
            <v>FT-CAN-PWRF-HDGI-PRC</v>
          </cell>
          <cell r="C5" t="str">
            <v>P</v>
          </cell>
          <cell r="D5" t="str">
            <v>DESK</v>
          </cell>
          <cell r="E5" t="str">
            <v>S</v>
          </cell>
          <cell r="F5" t="str">
            <v>PWR</v>
          </cell>
          <cell r="G5" t="str">
            <v>P</v>
          </cell>
          <cell r="H5" t="str">
            <v>R9</v>
          </cell>
          <cell r="I5" t="str">
            <v>E</v>
          </cell>
          <cell r="J5" t="str">
            <v>PWRCAN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O</v>
          </cell>
        </row>
        <row r="6">
          <cell r="A6">
            <v>36770</v>
          </cell>
          <cell r="B6" t="str">
            <v>FT-CAN-PWRF-HDGI-PRC</v>
          </cell>
          <cell r="C6" t="str">
            <v>P</v>
          </cell>
          <cell r="D6" t="str">
            <v>DESK</v>
          </cell>
          <cell r="E6" t="str">
            <v>S</v>
          </cell>
          <cell r="F6" t="str">
            <v>PWR</v>
          </cell>
          <cell r="G6" t="str">
            <v>P</v>
          </cell>
          <cell r="H6" t="str">
            <v>R9</v>
          </cell>
          <cell r="I6" t="str">
            <v>E</v>
          </cell>
          <cell r="J6" t="str">
            <v>PWRCAN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O</v>
          </cell>
        </row>
        <row r="7">
          <cell r="A7">
            <v>36800</v>
          </cell>
          <cell r="B7" t="str">
            <v>FT-CAN-PWRF-HDGI-PRC</v>
          </cell>
          <cell r="C7" t="str">
            <v>P</v>
          </cell>
          <cell r="D7" t="str">
            <v>DESK</v>
          </cell>
          <cell r="E7" t="str">
            <v>S</v>
          </cell>
          <cell r="F7" t="str">
            <v>PWR</v>
          </cell>
          <cell r="G7" t="str">
            <v>P</v>
          </cell>
          <cell r="H7" t="str">
            <v>R9</v>
          </cell>
          <cell r="I7" t="str">
            <v>E</v>
          </cell>
          <cell r="J7" t="str">
            <v>PWRCAN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O</v>
          </cell>
        </row>
        <row r="8">
          <cell r="A8">
            <v>36831</v>
          </cell>
          <cell r="B8" t="str">
            <v>FT-CAN-PWRF-HDGI-PRC</v>
          </cell>
          <cell r="C8" t="str">
            <v>P</v>
          </cell>
          <cell r="D8" t="str">
            <v>DESK</v>
          </cell>
          <cell r="E8" t="str">
            <v>S</v>
          </cell>
          <cell r="F8" t="str">
            <v>PWR</v>
          </cell>
          <cell r="G8" t="str">
            <v>P</v>
          </cell>
          <cell r="H8" t="str">
            <v>R9</v>
          </cell>
          <cell r="I8" t="str">
            <v>E</v>
          </cell>
          <cell r="J8" t="str">
            <v>PWRCAN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O</v>
          </cell>
        </row>
        <row r="9">
          <cell r="A9">
            <v>36861</v>
          </cell>
          <cell r="B9" t="str">
            <v>FT-CAN-PWRF-HDGI-PRC</v>
          </cell>
          <cell r="C9" t="str">
            <v>P</v>
          </cell>
          <cell r="D9" t="str">
            <v>DESK</v>
          </cell>
          <cell r="E9" t="str">
            <v>S</v>
          </cell>
          <cell r="F9" t="str">
            <v>PWR</v>
          </cell>
          <cell r="G9" t="str">
            <v>P</v>
          </cell>
          <cell r="H9" t="str">
            <v>R9</v>
          </cell>
          <cell r="I9" t="str">
            <v>E</v>
          </cell>
          <cell r="J9" t="str">
            <v>PWRCAN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O</v>
          </cell>
        </row>
      </sheetData>
      <sheetData sheetId="2">
        <row r="3">
          <cell r="A3">
            <v>36678</v>
          </cell>
        </row>
        <row r="3">
          <cell r="C3" t="str">
            <v>P</v>
          </cell>
          <cell r="D3" t="str">
            <v>DESK</v>
          </cell>
          <cell r="E3" t="str">
            <v>S</v>
          </cell>
          <cell r="F3" t="str">
            <v>PWR</v>
          </cell>
          <cell r="G3" t="str">
            <v>P</v>
          </cell>
          <cell r="H3" t="str">
            <v>R9</v>
          </cell>
          <cell r="I3" t="str">
            <v>O</v>
          </cell>
          <cell r="J3" t="str">
            <v>PWRCAN</v>
          </cell>
        </row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P</v>
          </cell>
        </row>
        <row r="4">
          <cell r="A4">
            <v>36708</v>
          </cell>
        </row>
        <row r="4">
          <cell r="C4" t="str">
            <v>P</v>
          </cell>
          <cell r="D4" t="str">
            <v>DESK</v>
          </cell>
          <cell r="E4" t="str">
            <v>S</v>
          </cell>
          <cell r="F4" t="str">
            <v>PWR</v>
          </cell>
          <cell r="G4" t="str">
            <v>P</v>
          </cell>
          <cell r="H4" t="str">
            <v>R9</v>
          </cell>
          <cell r="I4" t="str">
            <v>O</v>
          </cell>
          <cell r="J4" t="str">
            <v>PWRCAN</v>
          </cell>
        </row>
        <row r="4">
          <cell r="L4">
            <v>0</v>
          </cell>
          <cell r="M4">
            <v>0</v>
          </cell>
          <cell r="N4">
            <v>0</v>
          </cell>
          <cell r="O4">
            <v>0</v>
          </cell>
          <cell r="P4" t="str">
            <v>P</v>
          </cell>
        </row>
        <row r="5">
          <cell r="A5">
            <v>36739</v>
          </cell>
        </row>
        <row r="5">
          <cell r="C5" t="str">
            <v>P</v>
          </cell>
          <cell r="D5" t="str">
            <v>DESK</v>
          </cell>
          <cell r="E5" t="str">
            <v>S</v>
          </cell>
          <cell r="F5" t="str">
            <v>PWR</v>
          </cell>
          <cell r="G5" t="str">
            <v>P</v>
          </cell>
          <cell r="H5" t="str">
            <v>R9</v>
          </cell>
          <cell r="I5" t="str">
            <v>O</v>
          </cell>
          <cell r="J5" t="str">
            <v>PWRCAN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P</v>
          </cell>
        </row>
        <row r="6">
          <cell r="A6">
            <v>36770</v>
          </cell>
        </row>
        <row r="6">
          <cell r="C6" t="str">
            <v>P</v>
          </cell>
          <cell r="D6" t="str">
            <v>DESK</v>
          </cell>
          <cell r="E6" t="str">
            <v>S</v>
          </cell>
          <cell r="F6" t="str">
            <v>PWR</v>
          </cell>
          <cell r="G6" t="str">
            <v>P</v>
          </cell>
          <cell r="H6" t="str">
            <v>R9</v>
          </cell>
          <cell r="I6" t="str">
            <v>O</v>
          </cell>
          <cell r="J6" t="str">
            <v>PWRCAN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P</v>
          </cell>
        </row>
        <row r="7">
          <cell r="A7">
            <v>36800</v>
          </cell>
        </row>
        <row r="7">
          <cell r="C7" t="str">
            <v>P</v>
          </cell>
          <cell r="D7" t="str">
            <v>DESK</v>
          </cell>
          <cell r="E7" t="str">
            <v>S</v>
          </cell>
          <cell r="F7" t="str">
            <v>PWR</v>
          </cell>
          <cell r="G7" t="str">
            <v>P</v>
          </cell>
          <cell r="H7" t="str">
            <v>R9</v>
          </cell>
          <cell r="I7" t="str">
            <v>O</v>
          </cell>
          <cell r="J7" t="str">
            <v>PWRCAN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P</v>
          </cell>
        </row>
        <row r="8">
          <cell r="A8">
            <v>36831</v>
          </cell>
        </row>
        <row r="8">
          <cell r="C8" t="str">
            <v>P</v>
          </cell>
          <cell r="D8" t="str">
            <v>DESK</v>
          </cell>
          <cell r="E8" t="str">
            <v>S</v>
          </cell>
          <cell r="F8" t="str">
            <v>PWR</v>
          </cell>
          <cell r="G8" t="str">
            <v>P</v>
          </cell>
          <cell r="H8" t="str">
            <v>R9</v>
          </cell>
          <cell r="I8" t="str">
            <v>O</v>
          </cell>
          <cell r="J8" t="str">
            <v>PWRCAN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P</v>
          </cell>
        </row>
        <row r="9">
          <cell r="A9">
            <v>36861</v>
          </cell>
        </row>
        <row r="9">
          <cell r="C9" t="str">
            <v>P</v>
          </cell>
          <cell r="D9" t="str">
            <v>DESK</v>
          </cell>
          <cell r="E9" t="str">
            <v>S</v>
          </cell>
          <cell r="F9" t="str">
            <v>PWR</v>
          </cell>
          <cell r="G9" t="str">
            <v>P</v>
          </cell>
          <cell r="H9" t="str">
            <v>R9</v>
          </cell>
          <cell r="I9" t="str">
            <v>O</v>
          </cell>
          <cell r="J9" t="str">
            <v>PWRCAN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P</v>
          </cell>
        </row>
        <row r="11">
          <cell r="A11">
            <v>36678</v>
          </cell>
        </row>
        <row r="11">
          <cell r="C11" t="str">
            <v>P</v>
          </cell>
          <cell r="D11" t="str">
            <v>DESK</v>
          </cell>
          <cell r="E11" t="str">
            <v>S</v>
          </cell>
          <cell r="F11" t="str">
            <v>PWR</v>
          </cell>
          <cell r="G11" t="str">
            <v>P</v>
          </cell>
          <cell r="H11" t="str">
            <v>R9</v>
          </cell>
          <cell r="I11" t="str">
            <v>O</v>
          </cell>
          <cell r="J11" t="str">
            <v>PWRCAN</v>
          </cell>
        </row>
        <row r="11"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 t="str">
            <v>P</v>
          </cell>
        </row>
        <row r="12">
          <cell r="A12">
            <v>36708</v>
          </cell>
        </row>
        <row r="12">
          <cell r="C12" t="str">
            <v>P</v>
          </cell>
          <cell r="D12" t="str">
            <v>DESK</v>
          </cell>
          <cell r="E12" t="str">
            <v>S</v>
          </cell>
          <cell r="F12" t="str">
            <v>PWR</v>
          </cell>
          <cell r="G12" t="str">
            <v>P</v>
          </cell>
          <cell r="H12" t="str">
            <v>R9</v>
          </cell>
          <cell r="I12" t="str">
            <v>O</v>
          </cell>
          <cell r="J12" t="str">
            <v>PWRCAN</v>
          </cell>
        </row>
        <row r="12"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 t="str">
            <v>P</v>
          </cell>
        </row>
        <row r="13">
          <cell r="A13">
            <v>36739</v>
          </cell>
        </row>
        <row r="13">
          <cell r="C13" t="str">
            <v>P</v>
          </cell>
          <cell r="D13" t="str">
            <v>DESK</v>
          </cell>
          <cell r="E13" t="str">
            <v>S</v>
          </cell>
          <cell r="F13" t="str">
            <v>PWR</v>
          </cell>
          <cell r="G13" t="str">
            <v>P</v>
          </cell>
          <cell r="H13" t="str">
            <v>R9</v>
          </cell>
          <cell r="I13" t="str">
            <v>O</v>
          </cell>
          <cell r="J13" t="str">
            <v>PWRCAN</v>
          </cell>
        </row>
        <row r="13"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P</v>
          </cell>
        </row>
        <row r="14">
          <cell r="A14">
            <v>36770</v>
          </cell>
        </row>
        <row r="14">
          <cell r="C14" t="str">
            <v>P</v>
          </cell>
          <cell r="D14" t="str">
            <v>DESK</v>
          </cell>
          <cell r="E14" t="str">
            <v>S</v>
          </cell>
          <cell r="F14" t="str">
            <v>PWR</v>
          </cell>
          <cell r="G14" t="str">
            <v>P</v>
          </cell>
          <cell r="H14" t="str">
            <v>R9</v>
          </cell>
          <cell r="I14" t="str">
            <v>O</v>
          </cell>
          <cell r="J14" t="str">
            <v>PWRCAN</v>
          </cell>
        </row>
        <row r="14"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 t="str">
            <v>P</v>
          </cell>
        </row>
        <row r="15">
          <cell r="A15">
            <v>36800</v>
          </cell>
        </row>
        <row r="15">
          <cell r="C15" t="str">
            <v>P</v>
          </cell>
          <cell r="D15" t="str">
            <v>DESK</v>
          </cell>
          <cell r="E15" t="str">
            <v>S</v>
          </cell>
          <cell r="F15" t="str">
            <v>PWR</v>
          </cell>
          <cell r="G15" t="str">
            <v>P</v>
          </cell>
          <cell r="H15" t="str">
            <v>R9</v>
          </cell>
          <cell r="I15" t="str">
            <v>O</v>
          </cell>
          <cell r="J15" t="str">
            <v>PWRCAN</v>
          </cell>
        </row>
        <row r="15"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 t="str">
            <v>P</v>
          </cell>
        </row>
        <row r="16">
          <cell r="A16">
            <v>36831</v>
          </cell>
        </row>
        <row r="16">
          <cell r="C16" t="str">
            <v>P</v>
          </cell>
          <cell r="D16" t="str">
            <v>DESK</v>
          </cell>
          <cell r="E16" t="str">
            <v>S</v>
          </cell>
          <cell r="F16" t="str">
            <v>PWR</v>
          </cell>
          <cell r="G16" t="str">
            <v>P</v>
          </cell>
          <cell r="H16" t="str">
            <v>R9</v>
          </cell>
          <cell r="I16" t="str">
            <v>O</v>
          </cell>
          <cell r="J16" t="str">
            <v>PWRCAN</v>
          </cell>
        </row>
        <row r="16"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P</v>
          </cell>
        </row>
        <row r="17">
          <cell r="A17">
            <v>36861</v>
          </cell>
        </row>
        <row r="17">
          <cell r="C17" t="str">
            <v>P</v>
          </cell>
          <cell r="D17" t="str">
            <v>DESK</v>
          </cell>
          <cell r="E17" t="str">
            <v>S</v>
          </cell>
          <cell r="F17" t="str">
            <v>PWR</v>
          </cell>
          <cell r="G17" t="str">
            <v>P</v>
          </cell>
          <cell r="H17" t="str">
            <v>R9</v>
          </cell>
          <cell r="I17" t="str">
            <v>O</v>
          </cell>
          <cell r="J17" t="str">
            <v>PWRCAN</v>
          </cell>
        </row>
        <row r="17"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str">
            <v>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ak"/>
      <sheetName val="NonPeak"/>
      <sheetName val="All"/>
      <sheetName val="Trades"/>
      <sheetName val="AB_positions"/>
      <sheetName val="external_curves"/>
      <sheetName val="ROM"/>
      <sheetName val="Fwd_curves"/>
      <sheetName val="swap_model"/>
      <sheetName val="H-rate_model"/>
      <sheetName val="ab_gas_deal"/>
      <sheetName val="PJM_deal"/>
      <sheetName val="graph_data"/>
    </sheetNames>
    <sheetDataSet>
      <sheetData sheetId="0">
        <row r="3">
          <cell r="B3" t="str">
            <v>FT-CAN-PWRF-HDGI-PRC</v>
          </cell>
        </row>
        <row r="4">
          <cell r="B4" t="str">
            <v>FT-CAN-PWRF-HDGI-PRC</v>
          </cell>
        </row>
        <row r="5">
          <cell r="B5" t="str">
            <v>FT-CAN-PWRF-HDGI-PRC</v>
          </cell>
        </row>
        <row r="6">
          <cell r="B6" t="str">
            <v>FT-CAN-PWRF-HDGI-PRC</v>
          </cell>
        </row>
        <row r="7">
          <cell r="B7" t="str">
            <v>FT-CAN-PWRF-HDGI-PRC</v>
          </cell>
        </row>
        <row r="8">
          <cell r="B8" t="str">
            <v>FT-CAN-PWRF-HDGI-PRC</v>
          </cell>
        </row>
        <row r="9">
          <cell r="B9" t="str">
            <v>FT-CAN-PWRF-HDGI-PRC</v>
          </cell>
        </row>
        <row r="11">
          <cell r="B11" t="str">
            <v>FT-CAN-PWRF-HDGI-PRC</v>
          </cell>
        </row>
        <row r="12">
          <cell r="B12" t="str">
            <v>FT-CAN-PWRF-HDGI-PRC</v>
          </cell>
        </row>
        <row r="13">
          <cell r="B13" t="str">
            <v>FT-CAN-PWRF-HDGI-PRC</v>
          </cell>
        </row>
        <row r="14">
          <cell r="B14" t="str">
            <v>FT-CAN-PWRF-HDGI-PRC</v>
          </cell>
        </row>
        <row r="15">
          <cell r="B15" t="str">
            <v>FT-CAN-PWRF-HDGI-PRC</v>
          </cell>
        </row>
        <row r="16">
          <cell r="B16" t="str">
            <v>FT-CAN-PWRF-HDGI-PRC</v>
          </cell>
        </row>
        <row r="17">
          <cell r="B17" t="str">
            <v>FT-CAN-PWRF-HDGI-PRC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B_positions"/>
      <sheetName val="external_curves"/>
      <sheetName val="ROM"/>
      <sheetName val="Fwd_curves"/>
      <sheetName val="swap_model"/>
      <sheetName val="H-rate_model"/>
      <sheetName val="PJM_deal"/>
      <sheetName val="graph_data"/>
      <sheetName val="monthly_mids"/>
      <sheetName val="price_curves"/>
      <sheetName val="c$_midc_swaps"/>
    </sheetNames>
    <sheetDataSet>
      <sheetData sheetId="0"/>
      <sheetData sheetId="1">
        <row r="15">
          <cell r="J15">
            <v>2.9</v>
          </cell>
        </row>
      </sheetData>
      <sheetData sheetId="2">
        <row r="4">
          <cell r="K4">
            <v>0</v>
          </cell>
          <cell r="L4">
            <v>0</v>
          </cell>
        </row>
        <row r="4">
          <cell r="N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13"/>
    <col collapsed="false" customWidth="true" hidden="false" outlineLevel="0" max="2" min="2" style="0" width="12.14"/>
  </cols>
  <sheetData>
    <row r="3" customFormat="false" ht="12.75" hidden="false" customHeight="false" outlineLevel="0" collapsed="false">
      <c r="A3" s="1" t="s">
        <v>0</v>
      </c>
    </row>
    <row r="4" customFormat="false" ht="12.75" hidden="false" customHeight="false" outlineLevel="0" collapsed="false">
      <c r="A4" s="0" t="s">
        <v>1</v>
      </c>
    </row>
    <row r="7" customFormat="false" ht="12.75" hidden="false" customHeight="false" outlineLevel="0" collapsed="false">
      <c r="A7" s="0" t="s">
        <v>2</v>
      </c>
      <c r="B7" s="2" t="n">
        <f aca="true">TODAY()</f>
        <v>45926</v>
      </c>
    </row>
    <row r="9" customFormat="false" ht="12.75" hidden="false" customHeight="false" outlineLevel="0" collapsed="false">
      <c r="B9" s="3" t="s">
        <v>3</v>
      </c>
    </row>
    <row r="10" customFormat="false" ht="12.75" hidden="true" customHeight="false" outlineLevel="0" collapsed="false">
      <c r="A10" s="0" t="s">
        <v>4</v>
      </c>
      <c r="B10" s="4" t="n">
        <f aca="false">Trades!AA56</f>
        <v>6610705.67743701</v>
      </c>
    </row>
    <row r="11" customFormat="false" ht="12.75" hidden="true" customHeight="false" outlineLevel="0" collapsed="false">
      <c r="A11" s="0" t="s">
        <v>5</v>
      </c>
      <c r="B11" s="5" t="n">
        <v>347085.75</v>
      </c>
    </row>
    <row r="12" customFormat="false" ht="12.75" hidden="false" customHeight="false" outlineLevel="0" collapsed="false">
      <c r="A12" s="0" t="s">
        <v>6</v>
      </c>
      <c r="B12" s="4" t="n">
        <f aca="false">B10-B11</f>
        <v>6263619.92743701</v>
      </c>
    </row>
    <row r="13" customFormat="false" ht="12.75" hidden="false" customHeight="false" outlineLevel="0" collapsed="false">
      <c r="A13" s="0" t="s">
        <v>7</v>
      </c>
      <c r="B13" s="6" t="n">
        <f aca="false">Sheet2!B54</f>
        <v>1182147</v>
      </c>
    </row>
    <row r="14" customFormat="false" ht="12.75" hidden="false" customHeight="false" outlineLevel="0" collapsed="false">
      <c r="A14" s="0" t="s">
        <v>8</v>
      </c>
      <c r="B14" s="4" t="n">
        <f aca="false">B12-B13</f>
        <v>5081472.92743701</v>
      </c>
    </row>
    <row r="15" customFormat="false" ht="12.75" hidden="false" customHeight="false" outlineLevel="0" collapsed="false">
      <c r="A15" s="0" t="s">
        <v>9</v>
      </c>
      <c r="B15" s="4" t="n">
        <v>-14800</v>
      </c>
    </row>
    <row r="16" customFormat="false" ht="12.75" hidden="false" customHeight="false" outlineLevel="0" collapsed="false">
      <c r="A16" s="0" t="s">
        <v>10</v>
      </c>
      <c r="B16" s="6" t="n">
        <f aca="false">SUM(Sheet2!F54:F56)</f>
        <v>-34551.26</v>
      </c>
      <c r="C16" s="0" t="s">
        <v>11</v>
      </c>
    </row>
    <row r="18" customFormat="false" ht="12.75" hidden="false" customHeight="false" outlineLevel="0" collapsed="false">
      <c r="A18" s="0" t="s">
        <v>12</v>
      </c>
      <c r="B18" s="7" t="n">
        <f aca="false">B16+B14+B15</f>
        <v>5032121.66743701</v>
      </c>
    </row>
    <row r="20" customFormat="false" ht="23.25" hidden="false" customHeight="false" outlineLevel="0" collapsed="false">
      <c r="A2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R1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M36" activeCellId="0" sqref="AM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6" width="11.7"/>
    <col collapsed="false" customWidth="true" hidden="false" outlineLevel="0" max="2" min="2" style="106" width="9.41"/>
    <col collapsed="false" customWidth="true" hidden="false" outlineLevel="0" max="3" min="3" style="150" width="11.42"/>
    <col collapsed="false" customWidth="true" hidden="false" outlineLevel="0" max="4" min="4" style="151" width="14.85"/>
    <col collapsed="false" customWidth="true" hidden="false" outlineLevel="0" max="7" min="5" style="152" width="8.7"/>
    <col collapsed="false" customWidth="true" hidden="false" outlineLevel="0" max="8" min="8" style="152" width="2.13"/>
    <col collapsed="false" customWidth="true" hidden="false" outlineLevel="0" max="11" min="9" style="152" width="8.41"/>
    <col collapsed="false" customWidth="true" hidden="false" outlineLevel="0" max="12" min="12" style="152" width="2.7"/>
    <col collapsed="false" customWidth="true" hidden="false" outlineLevel="0" max="13" min="13" style="152" width="8.7"/>
    <col collapsed="false" customWidth="true" hidden="false" outlineLevel="0" max="16" min="14" style="152" width="8.14"/>
    <col collapsed="false" customWidth="true" hidden="false" outlineLevel="0" max="17" min="17" style="152" width="4.99"/>
    <col collapsed="false" customWidth="true" hidden="false" outlineLevel="0" max="20" min="18" style="152" width="8.41"/>
    <col collapsed="false" customWidth="true" hidden="false" outlineLevel="0" max="21" min="21" style="152" width="7.7"/>
    <col collapsed="false" customWidth="true" hidden="false" outlineLevel="0" max="22" min="22" style="152" width="5.56"/>
    <col collapsed="false" customWidth="true" hidden="false" outlineLevel="0" max="23" min="23" style="152" width="7.28"/>
    <col collapsed="false" customWidth="true" hidden="false" outlineLevel="0" max="24" min="24" style="152" width="12.42"/>
    <col collapsed="false" customWidth="true" hidden="false" outlineLevel="0" max="27" min="25" style="152" width="13.14"/>
    <col collapsed="false" customWidth="true" hidden="false" outlineLevel="0" max="34" min="28" style="152" width="7.7"/>
    <col collapsed="false" customWidth="true" hidden="false" outlineLevel="0" max="35" min="35" style="152" width="10.56"/>
    <col collapsed="false" customWidth="true" hidden="false" outlineLevel="0" max="36" min="36" style="152" width="8.28"/>
    <col collapsed="false" customWidth="true" hidden="false" outlineLevel="0" max="37" min="37" style="152" width="9.85"/>
    <col collapsed="false" customWidth="true" hidden="false" outlineLevel="0" max="38" min="38" style="152" width="8.99"/>
    <col collapsed="false" customWidth="true" hidden="false" outlineLevel="0" max="39" min="39" style="152" width="8.56"/>
    <col collapsed="false" customWidth="true" hidden="false" outlineLevel="0" max="40" min="40" style="106" width="9.14"/>
    <col collapsed="false" customWidth="true" hidden="false" outlineLevel="0" max="41" min="41" style="0" width="10.71"/>
    <col collapsed="false" customWidth="true" hidden="false" outlineLevel="0" max="43" min="43" style="106" width="9.14"/>
    <col collapsed="false" customWidth="true" hidden="false" outlineLevel="0" max="49" min="44" style="150" width="9.14"/>
    <col collapsed="false" customWidth="true" hidden="false" outlineLevel="0" max="65" min="50" style="0" width="10.99"/>
    <col collapsed="false" customWidth="true" hidden="false" outlineLevel="0" max="70" min="66" style="0" width="10.28"/>
  </cols>
  <sheetData>
    <row r="1" customFormat="false" ht="23.25" hidden="false" customHeight="false" outlineLevel="0" collapsed="false">
      <c r="A1" s="153" t="s">
        <v>218</v>
      </c>
      <c r="C1" s="106"/>
      <c r="D1" s="153" t="s">
        <v>219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L1" s="155"/>
      <c r="AM1" s="155"/>
      <c r="AR1" s="153"/>
    </row>
    <row r="2" customFormat="false" ht="27" hidden="false" customHeight="true" outlineLevel="0" collapsed="false">
      <c r="B2" s="106" t="s">
        <v>43</v>
      </c>
      <c r="C2" s="156"/>
      <c r="D2" s="157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4"/>
      <c r="P2" s="155"/>
      <c r="Q2" s="155"/>
      <c r="R2" s="155"/>
      <c r="S2" s="158"/>
      <c r="T2" s="159"/>
      <c r="U2" s="159"/>
      <c r="V2" s="155"/>
      <c r="W2" s="155"/>
      <c r="X2" s="155"/>
      <c r="Y2" s="155"/>
      <c r="Z2" s="155"/>
      <c r="AA2" s="155"/>
      <c r="AB2" s="155"/>
      <c r="AC2" s="155"/>
      <c r="AD2" s="17"/>
      <c r="AE2" s="17"/>
      <c r="AF2" s="155"/>
      <c r="AG2" s="155"/>
      <c r="AH2" s="155"/>
      <c r="AI2" s="155"/>
      <c r="AJ2" s="155"/>
      <c r="AL2" s="155"/>
      <c r="AM2" s="155"/>
      <c r="AN2" s="160"/>
      <c r="AO2" s="160"/>
      <c r="AP2" s="160"/>
      <c r="AQ2" s="160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</row>
    <row r="3" customFormat="false" ht="13.5" hidden="false" customHeight="false" outlineLevel="0" collapsed="false">
      <c r="A3" s="162" t="n">
        <v>36678</v>
      </c>
      <c r="B3" s="36" t="n">
        <v>0.057099451499444</v>
      </c>
      <c r="C3" s="156"/>
      <c r="D3" s="163" t="s">
        <v>220</v>
      </c>
      <c r="E3" s="164"/>
      <c r="F3" s="165"/>
      <c r="G3" s="166" t="n">
        <v>36649</v>
      </c>
      <c r="H3" s="167"/>
      <c r="I3" s="160"/>
      <c r="J3" s="160"/>
      <c r="K3" s="160"/>
      <c r="L3" s="168"/>
      <c r="M3" s="169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06"/>
      <c r="BO3" s="106"/>
      <c r="BP3" s="106"/>
      <c r="BQ3" s="106"/>
    </row>
    <row r="4" customFormat="false" ht="12.75" hidden="false" customHeight="false" outlineLevel="0" collapsed="false">
      <c r="A4" s="170" t="n">
        <f aca="false">EOMONTH(A3,0)+1</f>
        <v>36708</v>
      </c>
      <c r="B4" s="36" t="n">
        <v>0.057545978648645</v>
      </c>
      <c r="C4" s="161"/>
      <c r="D4" s="171"/>
      <c r="E4" s="165"/>
      <c r="F4" s="165"/>
      <c r="G4" s="165"/>
      <c r="H4" s="168"/>
      <c r="I4" s="160"/>
      <c r="J4" s="160"/>
      <c r="K4" s="160"/>
      <c r="L4" s="168"/>
      <c r="M4" s="169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0"/>
      <c r="AS4" s="0"/>
      <c r="AT4" s="0"/>
      <c r="AU4" s="0"/>
      <c r="AV4" s="0"/>
      <c r="AW4" s="0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06"/>
      <c r="BO4" s="106"/>
      <c r="BP4" s="106"/>
      <c r="BQ4" s="106"/>
    </row>
    <row r="5" customFormat="false" ht="12.75" hidden="false" customHeight="false" outlineLevel="0" collapsed="false">
      <c r="A5" s="170" t="n">
        <f aca="false">EOMONTH(A4,0)+1</f>
        <v>36739</v>
      </c>
      <c r="B5" s="36" t="n">
        <v>0.058411515678857</v>
      </c>
      <c r="C5" s="161"/>
      <c r="D5" s="168"/>
      <c r="E5" s="168" t="s">
        <v>221</v>
      </c>
      <c r="G5" s="168"/>
      <c r="H5" s="168"/>
      <c r="I5" s="168" t="s">
        <v>222</v>
      </c>
      <c r="K5" s="168"/>
      <c r="L5" s="168"/>
      <c r="M5" s="169"/>
      <c r="N5" s="168"/>
      <c r="O5" s="168" t="s">
        <v>223</v>
      </c>
      <c r="P5" s="168"/>
      <c r="Q5" s="168"/>
      <c r="R5" s="168"/>
      <c r="S5" s="168" t="s">
        <v>224</v>
      </c>
      <c r="T5" s="168"/>
      <c r="U5" s="168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0"/>
      <c r="AS5" s="0"/>
      <c r="AT5" s="0"/>
      <c r="AU5" s="0"/>
      <c r="AV5" s="0"/>
      <c r="AW5" s="0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</row>
    <row r="6" customFormat="false" ht="12.75" hidden="false" customHeight="false" outlineLevel="0" collapsed="false">
      <c r="A6" s="170" t="n">
        <f aca="false">EOMONTH(A5,0)+1</f>
        <v>36770</v>
      </c>
      <c r="B6" s="36" t="n">
        <v>0.059182765795627</v>
      </c>
      <c r="C6" s="173"/>
      <c r="D6" s="174"/>
      <c r="E6" s="175" t="s">
        <v>225</v>
      </c>
      <c r="F6" s="175" t="s">
        <v>226</v>
      </c>
      <c r="G6" s="176" t="s">
        <v>227</v>
      </c>
      <c r="H6" s="177"/>
      <c r="I6" s="165" t="s">
        <v>225</v>
      </c>
      <c r="J6" s="165" t="s">
        <v>226</v>
      </c>
      <c r="K6" s="165" t="s">
        <v>227</v>
      </c>
      <c r="L6" s="168"/>
      <c r="M6" s="169"/>
      <c r="N6" s="175" t="s">
        <v>225</v>
      </c>
      <c r="O6" s="175" t="s">
        <v>226</v>
      </c>
      <c r="P6" s="176" t="s">
        <v>227</v>
      </c>
      <c r="Q6" s="176"/>
      <c r="R6" s="175" t="s">
        <v>225</v>
      </c>
      <c r="S6" s="175" t="s">
        <v>226</v>
      </c>
      <c r="T6" s="176" t="s">
        <v>227</v>
      </c>
      <c r="U6" s="176"/>
      <c r="V6" s="160"/>
      <c r="W6" s="168"/>
      <c r="X6" s="168"/>
      <c r="Y6" s="168"/>
      <c r="Z6" s="168"/>
      <c r="AA6" s="168"/>
      <c r="AB6" s="165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0"/>
      <c r="AO6" s="160"/>
      <c r="AP6" s="160"/>
      <c r="AQ6" s="160"/>
      <c r="AR6" s="0"/>
      <c r="AS6" s="0"/>
      <c r="AT6" s="0"/>
      <c r="AU6" s="0"/>
      <c r="AV6" s="0"/>
      <c r="AW6" s="0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</row>
    <row r="7" customFormat="false" ht="12.75" hidden="false" customHeight="false" outlineLevel="0" collapsed="false">
      <c r="A7" s="170" t="n">
        <f aca="false">EOMONTH(A6,0)+1</f>
        <v>36800</v>
      </c>
      <c r="B7" s="36" t="n">
        <v>0.059883480172705</v>
      </c>
      <c r="C7" s="179"/>
      <c r="D7" s="168"/>
      <c r="E7" s="168" t="s">
        <v>228</v>
      </c>
      <c r="F7" s="168" t="s">
        <v>228</v>
      </c>
      <c r="G7" s="168" t="s">
        <v>228</v>
      </c>
      <c r="H7" s="177"/>
      <c r="I7" s="177" t="s">
        <v>228</v>
      </c>
      <c r="J7" s="177" t="s">
        <v>228</v>
      </c>
      <c r="K7" s="177" t="s">
        <v>228</v>
      </c>
      <c r="L7" s="168"/>
      <c r="M7" s="169"/>
      <c r="N7" s="168" t="s">
        <v>228</v>
      </c>
      <c r="O7" s="168" t="s">
        <v>228</v>
      </c>
      <c r="P7" s="168" t="s">
        <v>228</v>
      </c>
      <c r="Q7" s="168"/>
      <c r="R7" s="168" t="s">
        <v>228</v>
      </c>
      <c r="S7" s="168" t="s">
        <v>228</v>
      </c>
      <c r="T7" s="168" t="s">
        <v>228</v>
      </c>
      <c r="U7" s="168"/>
      <c r="V7" s="160"/>
      <c r="W7" s="168"/>
      <c r="X7" s="168"/>
      <c r="Y7" s="168"/>
      <c r="Z7" s="168"/>
      <c r="AA7" s="168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N7" s="160"/>
      <c r="AO7" s="160"/>
      <c r="AP7" s="160"/>
      <c r="AQ7" s="160"/>
      <c r="AR7" s="0"/>
      <c r="AS7" s="0"/>
      <c r="AT7" s="0"/>
      <c r="AU7" s="0"/>
      <c r="AV7" s="0"/>
      <c r="AW7" s="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</row>
    <row r="8" customFormat="false" ht="12.75" hidden="false" customHeight="false" outlineLevel="0" collapsed="false">
      <c r="A8" s="170" t="n">
        <f aca="false">EOMONTH(A7,0)+1</f>
        <v>36831</v>
      </c>
      <c r="B8" s="36" t="n">
        <v>0.060533096758537</v>
      </c>
      <c r="C8" s="179" t="s">
        <v>166</v>
      </c>
      <c r="D8" s="165" t="s">
        <v>229</v>
      </c>
      <c r="E8" s="165"/>
      <c r="F8" s="165"/>
      <c r="G8" s="165"/>
      <c r="H8" s="176"/>
      <c r="I8" s="165"/>
      <c r="J8" s="176"/>
      <c r="K8" s="176"/>
      <c r="L8" s="168"/>
      <c r="M8" s="169" t="s">
        <v>86</v>
      </c>
      <c r="N8" s="160"/>
      <c r="O8" s="160"/>
      <c r="P8" s="160"/>
      <c r="Q8" s="160"/>
      <c r="R8" s="160"/>
      <c r="S8" s="160"/>
      <c r="T8" s="160"/>
      <c r="U8" s="160"/>
      <c r="V8" s="160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0"/>
      <c r="AO8" s="160"/>
      <c r="AP8" s="160"/>
      <c r="AQ8" s="160"/>
      <c r="AR8" s="0"/>
      <c r="AS8" s="0"/>
      <c r="AT8" s="0"/>
      <c r="AU8" s="0"/>
      <c r="AV8" s="0"/>
      <c r="AW8" s="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</row>
    <row r="9" customFormat="false" ht="12.75" hidden="false" customHeight="false" outlineLevel="0" collapsed="false">
      <c r="A9" s="170" t="n">
        <f aca="false">EOMONTH(A8,0)+1</f>
        <v>36861</v>
      </c>
      <c r="B9" s="36" t="n">
        <v>0.061161758104103</v>
      </c>
      <c r="C9" s="181" t="n">
        <f aca="false">WEEKDAY(D9)</f>
        <v>7</v>
      </c>
      <c r="D9" s="182" t="n">
        <f aca="true">TODAY()+1</f>
        <v>45927</v>
      </c>
      <c r="E9" s="59" t="n">
        <f aca="false">F9-1</f>
        <v>53</v>
      </c>
      <c r="F9" s="59" t="n">
        <v>54</v>
      </c>
      <c r="G9" s="59" t="n">
        <f aca="false">F9+1</f>
        <v>55</v>
      </c>
      <c r="H9" s="176"/>
      <c r="I9" s="59" t="n">
        <f aca="false">J9-1</f>
        <v>29</v>
      </c>
      <c r="J9" s="59" t="n">
        <v>30</v>
      </c>
      <c r="K9" s="59" t="n">
        <f aca="false">J9+1</f>
        <v>31</v>
      </c>
      <c r="L9" s="168"/>
      <c r="M9" s="169" t="n">
        <v>36617</v>
      </c>
      <c r="N9" s="60" t="n">
        <v>0</v>
      </c>
      <c r="O9" s="60" t="n">
        <v>0</v>
      </c>
      <c r="P9" s="60" t="n">
        <v>0</v>
      </c>
      <c r="Q9" s="160"/>
      <c r="R9" s="60" t="n">
        <v>0</v>
      </c>
      <c r="S9" s="60" t="n">
        <v>0</v>
      </c>
      <c r="T9" s="60" t="n">
        <v>0</v>
      </c>
      <c r="U9" s="160"/>
      <c r="V9" s="160"/>
      <c r="W9" s="183"/>
      <c r="X9" s="183" t="s">
        <v>230</v>
      </c>
      <c r="Y9" s="183" t="s">
        <v>231</v>
      </c>
      <c r="Z9" s="183" t="s">
        <v>232</v>
      </c>
      <c r="AA9" s="183"/>
      <c r="AB9" s="168" t="n">
        <v>100</v>
      </c>
      <c r="AC9" s="168" t="n">
        <v>200</v>
      </c>
      <c r="AD9" s="168" t="n">
        <v>300</v>
      </c>
      <c r="AE9" s="168" t="n">
        <v>400</v>
      </c>
      <c r="AF9" s="168" t="n">
        <v>500</v>
      </c>
      <c r="AG9" s="168" t="n">
        <v>600</v>
      </c>
      <c r="AH9" s="168" t="n">
        <v>700</v>
      </c>
      <c r="AI9" s="168" t="n">
        <v>800</v>
      </c>
      <c r="AJ9" s="168" t="n">
        <v>900</v>
      </c>
      <c r="AK9" s="168" t="n">
        <v>1000</v>
      </c>
      <c r="AL9" s="168" t="n">
        <v>1100</v>
      </c>
      <c r="AM9" s="168" t="n">
        <v>1200</v>
      </c>
      <c r="AN9" s="168" t="n">
        <v>1300</v>
      </c>
      <c r="AO9" s="168" t="n">
        <v>1400</v>
      </c>
      <c r="AP9" s="168" t="n">
        <v>1500</v>
      </c>
      <c r="AQ9" s="168" t="n">
        <v>1600</v>
      </c>
      <c r="AR9" s="168" t="n">
        <v>1700</v>
      </c>
      <c r="AS9" s="168" t="n">
        <v>1800</v>
      </c>
      <c r="AT9" s="168" t="n">
        <v>1900</v>
      </c>
      <c r="AU9" s="168" t="n">
        <v>2000</v>
      </c>
      <c r="AV9" s="168" t="n">
        <v>2100</v>
      </c>
      <c r="AW9" s="168" t="n">
        <v>2200</v>
      </c>
      <c r="AX9" s="168" t="n">
        <v>2300</v>
      </c>
      <c r="AY9" s="168" t="n">
        <v>2400</v>
      </c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</row>
    <row r="10" customFormat="false" ht="12.75" hidden="false" customHeight="false" outlineLevel="0" collapsed="false">
      <c r="A10" s="170" t="n">
        <f aca="false">EOMONTH(A9,0)+1</f>
        <v>36892</v>
      </c>
      <c r="B10" s="36" t="n">
        <v>0.061713597919777</v>
      </c>
      <c r="C10" s="181" t="n">
        <f aca="false">WEEKDAY(D10)</f>
        <v>1</v>
      </c>
      <c r="D10" s="182" t="n">
        <f aca="false">D9+1</f>
        <v>45928</v>
      </c>
      <c r="E10" s="59" t="n">
        <f aca="false">F10-1</f>
        <v>53</v>
      </c>
      <c r="F10" s="59" t="n">
        <v>54</v>
      </c>
      <c r="G10" s="59" t="n">
        <f aca="false">F10+1</f>
        <v>55</v>
      </c>
      <c r="H10" s="176"/>
      <c r="I10" s="59" t="n">
        <f aca="false">J10-1</f>
        <v>29</v>
      </c>
      <c r="J10" s="59" t="n">
        <v>30</v>
      </c>
      <c r="K10" s="59" t="n">
        <f aca="false">J10+1</f>
        <v>31</v>
      </c>
      <c r="L10" s="168"/>
      <c r="M10" s="169" t="n">
        <v>36647</v>
      </c>
      <c r="N10" s="60" t="n">
        <v>0</v>
      </c>
      <c r="O10" s="60" t="n">
        <v>0</v>
      </c>
      <c r="P10" s="60" t="n">
        <v>0</v>
      </c>
      <c r="Q10" s="160"/>
      <c r="R10" s="60" t="n">
        <v>0</v>
      </c>
      <c r="S10" s="60" t="n">
        <v>0</v>
      </c>
      <c r="T10" s="60" t="n">
        <v>0</v>
      </c>
      <c r="U10" s="160"/>
      <c r="V10" s="160"/>
      <c r="W10" s="183" t="s">
        <v>233</v>
      </c>
      <c r="X10" s="184" t="n">
        <f aca="false">AVERAGE(AI10:AX10)</f>
        <v>1</v>
      </c>
      <c r="Y10" s="184" t="n">
        <f aca="false">AVERAGE(AB10:AH10,AY10)</f>
        <v>1</v>
      </c>
      <c r="Z10" s="184" t="n">
        <f aca="false">AVERAGE(AV10:AX10)</f>
        <v>0.929074248059795</v>
      </c>
      <c r="AA10" s="184"/>
      <c r="AB10" s="180" t="n">
        <v>1.03154620418154</v>
      </c>
      <c r="AC10" s="180" t="n">
        <v>0.956128973563912</v>
      </c>
      <c r="AD10" s="180" t="n">
        <v>0.908444077683353</v>
      </c>
      <c r="AE10" s="180" t="n">
        <v>0.869047994909513</v>
      </c>
      <c r="AF10" s="180" t="n">
        <v>0.868933119644119</v>
      </c>
      <c r="AG10" s="180" t="n">
        <v>0.971740631258646</v>
      </c>
      <c r="AH10" s="180" t="n">
        <v>1.19271995856821</v>
      </c>
      <c r="AI10" s="180" t="n">
        <v>0.870955681819895</v>
      </c>
      <c r="AJ10" s="180" t="n">
        <v>0.96081644090532</v>
      </c>
      <c r="AK10" s="180" t="n">
        <v>0.916202362440189</v>
      </c>
      <c r="AL10" s="180" t="n">
        <v>0.93768215890099</v>
      </c>
      <c r="AM10" s="180" t="n">
        <v>0.949316409203976</v>
      </c>
      <c r="AN10" s="180" t="n">
        <v>0.920385233027182</v>
      </c>
      <c r="AO10" s="180" t="n">
        <v>0.896505967575817</v>
      </c>
      <c r="AP10" s="180" t="n">
        <v>0.889879695768674</v>
      </c>
      <c r="AQ10" s="180" t="n">
        <v>0.908109204734359</v>
      </c>
      <c r="AR10" s="180" t="n">
        <v>1.05215776218322</v>
      </c>
      <c r="AS10" s="180" t="n">
        <v>1.53389847819998</v>
      </c>
      <c r="AT10" s="180" t="n">
        <v>1.31033256247586</v>
      </c>
      <c r="AU10" s="180" t="n">
        <v>1.06653529858516</v>
      </c>
      <c r="AV10" s="180" t="n">
        <v>1.01823478992619</v>
      </c>
      <c r="AW10" s="180" t="n">
        <v>0.952834214703487</v>
      </c>
      <c r="AX10" s="180" t="n">
        <v>0.816153739549714</v>
      </c>
      <c r="AY10" s="180" t="n">
        <v>1.2014390401907</v>
      </c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</row>
    <row r="11" customFormat="false" ht="12.75" hidden="false" customHeight="false" outlineLevel="0" collapsed="false">
      <c r="A11" s="170" t="n">
        <f aca="false">EOMONTH(A10,0)+1</f>
        <v>36923</v>
      </c>
      <c r="B11" s="36" t="n">
        <v>0.062146708548982</v>
      </c>
      <c r="C11" s="181" t="n">
        <f aca="false">WEEKDAY(D11)</f>
        <v>2</v>
      </c>
      <c r="D11" s="182" t="n">
        <f aca="false">D10+1</f>
        <v>45929</v>
      </c>
      <c r="E11" s="59" t="n">
        <f aca="false">F11-1</f>
        <v>53</v>
      </c>
      <c r="F11" s="59" t="n">
        <v>54</v>
      </c>
      <c r="G11" s="59" t="n">
        <f aca="false">F11+1</f>
        <v>55</v>
      </c>
      <c r="H11" s="176"/>
      <c r="I11" s="59" t="n">
        <f aca="false">J11-1</f>
        <v>29</v>
      </c>
      <c r="J11" s="59" t="n">
        <v>30</v>
      </c>
      <c r="K11" s="59" t="n">
        <f aca="false">J11+1</f>
        <v>31</v>
      </c>
      <c r="L11" s="168"/>
      <c r="M11" s="169" t="n">
        <v>36678</v>
      </c>
      <c r="N11" s="60" t="n">
        <v>35</v>
      </c>
      <c r="O11" s="60" t="n">
        <f aca="false">F40*0.9</f>
        <v>52.875</v>
      </c>
      <c r="P11" s="60" t="n">
        <v>35</v>
      </c>
      <c r="Q11" s="160"/>
      <c r="R11" s="60" t="n">
        <v>26.25</v>
      </c>
      <c r="S11" s="60" t="n">
        <f aca="false">F40*0.85</f>
        <v>49.9375</v>
      </c>
      <c r="T11" s="60" t="n">
        <v>26.25</v>
      </c>
      <c r="U11" s="160"/>
      <c r="V11" s="160"/>
      <c r="W11" s="183" t="s">
        <v>234</v>
      </c>
      <c r="X11" s="184" t="n">
        <f aca="false">AVERAGE(AI11:AX11)</f>
        <v>1</v>
      </c>
      <c r="Y11" s="184" t="n">
        <f aca="false">AVERAGE(AB11:AH11,AY11)</f>
        <v>1</v>
      </c>
      <c r="Z11" s="184" t="n">
        <f aca="false">AVERAGE(AV11:AX11)</f>
        <v>0.94132474044846</v>
      </c>
      <c r="AA11" s="184"/>
      <c r="AB11" s="180" t="n">
        <v>1.00954372559972</v>
      </c>
      <c r="AC11" s="180" t="n">
        <v>0.916580636452769</v>
      </c>
      <c r="AD11" s="180" t="n">
        <v>0.887378007464076</v>
      </c>
      <c r="AE11" s="180" t="n">
        <v>0.880406682637151</v>
      </c>
      <c r="AF11" s="180" t="n">
        <v>0.872849608008299</v>
      </c>
      <c r="AG11" s="180" t="n">
        <v>0.948383154709672</v>
      </c>
      <c r="AH11" s="180" t="n">
        <v>1.28701577843356</v>
      </c>
      <c r="AI11" s="180" t="n">
        <v>0.888869075996482</v>
      </c>
      <c r="AJ11" s="180" t="n">
        <v>0.958175028339456</v>
      </c>
      <c r="AK11" s="180" t="n">
        <v>0.964790642978907</v>
      </c>
      <c r="AL11" s="180" t="n">
        <v>0.976254888109543</v>
      </c>
      <c r="AM11" s="180" t="n">
        <v>0.985124673185163</v>
      </c>
      <c r="AN11" s="180" t="n">
        <v>0.980734793256101</v>
      </c>
      <c r="AO11" s="180" t="n">
        <v>0.971045416050765</v>
      </c>
      <c r="AP11" s="180" t="n">
        <v>0.925390971925191</v>
      </c>
      <c r="AQ11" s="180" t="n">
        <v>0.938446809565803</v>
      </c>
      <c r="AR11" s="180" t="n">
        <v>1.01339932241171</v>
      </c>
      <c r="AS11" s="180" t="n">
        <v>1.18378633654258</v>
      </c>
      <c r="AT11" s="180" t="n">
        <v>1.25506443104332</v>
      </c>
      <c r="AU11" s="180" t="n">
        <v>1.1349433892496</v>
      </c>
      <c r="AV11" s="180" t="n">
        <v>1.03670741068542</v>
      </c>
      <c r="AW11" s="180" t="n">
        <v>0.958121496127469</v>
      </c>
      <c r="AX11" s="180" t="n">
        <v>0.829145314532488</v>
      </c>
      <c r="AY11" s="180" t="n">
        <v>1.19784240669475</v>
      </c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</row>
    <row r="12" customFormat="false" ht="12.75" hidden="false" customHeight="false" outlineLevel="0" collapsed="false">
      <c r="A12" s="170" t="n">
        <f aca="false">EOMONTH(A11,0)+1</f>
        <v>36951</v>
      </c>
      <c r="B12" s="36" t="n">
        <v>0.062537905299845</v>
      </c>
      <c r="C12" s="181" t="n">
        <f aca="false">WEEKDAY(D12)</f>
        <v>3</v>
      </c>
      <c r="D12" s="182" t="n">
        <f aca="false">D11+1</f>
        <v>45930</v>
      </c>
      <c r="E12" s="59" t="n">
        <f aca="false">F12-1</f>
        <v>53</v>
      </c>
      <c r="F12" s="59" t="n">
        <v>54</v>
      </c>
      <c r="G12" s="59" t="n">
        <f aca="false">F12+1</f>
        <v>55</v>
      </c>
      <c r="H12" s="176"/>
      <c r="I12" s="59" t="s">
        <v>235</v>
      </c>
      <c r="J12" s="59" t="n">
        <v>30</v>
      </c>
      <c r="K12" s="59" t="n">
        <f aca="false">J12+1</f>
        <v>31</v>
      </c>
      <c r="L12" s="168"/>
      <c r="M12" s="169" t="n">
        <v>36708</v>
      </c>
      <c r="N12" s="60" t="n">
        <v>35</v>
      </c>
      <c r="O12" s="60" t="n">
        <f aca="false">F41*0.9</f>
        <v>53.55</v>
      </c>
      <c r="P12" s="60" t="n">
        <v>35</v>
      </c>
      <c r="Q12" s="160"/>
      <c r="R12" s="60" t="n">
        <v>26.25</v>
      </c>
      <c r="S12" s="60" t="n">
        <f aca="false">F41*0.85</f>
        <v>50.575</v>
      </c>
      <c r="T12" s="60" t="n">
        <v>26.25</v>
      </c>
      <c r="U12" s="160"/>
      <c r="V12" s="160"/>
      <c r="W12" s="183" t="s">
        <v>236</v>
      </c>
      <c r="X12" s="184" t="n">
        <f aca="false">AVERAGE(AI12:AX12)</f>
        <v>1</v>
      </c>
      <c r="Y12" s="184" t="n">
        <f aca="false">AVERAGE(AB12:AH12,AY12)</f>
        <v>1</v>
      </c>
      <c r="Z12" s="184" t="n">
        <f aca="false">AVERAGE(AV12:AX12)</f>
        <v>1.01111862504812</v>
      </c>
      <c r="AA12" s="184"/>
      <c r="AB12" s="180" t="n">
        <v>1.03520311794432</v>
      </c>
      <c r="AC12" s="180" t="n">
        <v>0.956821574344454</v>
      </c>
      <c r="AD12" s="180" t="n">
        <v>0.915002971703189</v>
      </c>
      <c r="AE12" s="180" t="n">
        <v>0.889061086782817</v>
      </c>
      <c r="AF12" s="180" t="n">
        <v>0.882846311594243</v>
      </c>
      <c r="AG12" s="180" t="n">
        <v>0.963403579607605</v>
      </c>
      <c r="AH12" s="180" t="n">
        <v>1.17461587590835</v>
      </c>
      <c r="AI12" s="180" t="n">
        <v>0.751354116192992</v>
      </c>
      <c r="AJ12" s="180" t="n">
        <v>0.87284325871464</v>
      </c>
      <c r="AK12" s="180" t="n">
        <v>1.10886179691737</v>
      </c>
      <c r="AL12" s="180" t="n">
        <v>1.06146957010242</v>
      </c>
      <c r="AM12" s="180" t="n">
        <v>1.03607931204956</v>
      </c>
      <c r="AN12" s="180" t="n">
        <v>0.995449174702226</v>
      </c>
      <c r="AO12" s="180" t="n">
        <v>0.97071204375965</v>
      </c>
      <c r="AP12" s="180" t="n">
        <v>0.961198042462494</v>
      </c>
      <c r="AQ12" s="180" t="n">
        <v>0.945946365210382</v>
      </c>
      <c r="AR12" s="180" t="n">
        <v>1.00572882991966</v>
      </c>
      <c r="AS12" s="180" t="n">
        <v>1.04404446225996</v>
      </c>
      <c r="AT12" s="180" t="n">
        <v>0.990533990967424</v>
      </c>
      <c r="AU12" s="180" t="n">
        <v>1.22242316159688</v>
      </c>
      <c r="AV12" s="180" t="n">
        <v>1.17375151354257</v>
      </c>
      <c r="AW12" s="180" t="n">
        <v>1.03598437525953</v>
      </c>
      <c r="AX12" s="180" t="n">
        <v>0.823619986342253</v>
      </c>
      <c r="AY12" s="180" t="n">
        <v>1.18304548211502</v>
      </c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</row>
    <row r="13" customFormat="false" ht="12.75" hidden="false" customHeight="false" outlineLevel="0" collapsed="false">
      <c r="A13" s="170" t="n">
        <f aca="false">EOMONTH(A12,0)+1</f>
        <v>36982</v>
      </c>
      <c r="B13" s="36" t="n">
        <v>0.062924552286113</v>
      </c>
      <c r="C13" s="181" t="n">
        <f aca="false">WEEKDAY(D13)</f>
        <v>4</v>
      </c>
      <c r="D13" s="182" t="n">
        <f aca="false">D12+1</f>
        <v>45931</v>
      </c>
      <c r="E13" s="59" t="n">
        <f aca="false">F13-1</f>
        <v>53</v>
      </c>
      <c r="F13" s="59" t="n">
        <v>54</v>
      </c>
      <c r="G13" s="59" t="n">
        <f aca="false">F13+1</f>
        <v>55</v>
      </c>
      <c r="H13" s="176"/>
      <c r="I13" s="59" t="n">
        <f aca="false">J13-1</f>
        <v>29</v>
      </c>
      <c r="J13" s="59" t="n">
        <v>30</v>
      </c>
      <c r="K13" s="59" t="n">
        <f aca="false">J13+1</f>
        <v>31</v>
      </c>
      <c r="L13" s="168"/>
      <c r="M13" s="169" t="n">
        <v>36739</v>
      </c>
      <c r="N13" s="60" t="n">
        <v>35</v>
      </c>
      <c r="O13" s="60" t="n">
        <f aca="false">F42*0.9</f>
        <v>59.4</v>
      </c>
      <c r="P13" s="60" t="n">
        <v>35</v>
      </c>
      <c r="Q13" s="160"/>
      <c r="R13" s="60" t="n">
        <v>26.25</v>
      </c>
      <c r="S13" s="60" t="n">
        <f aca="false">F42*0.85</f>
        <v>56.1</v>
      </c>
      <c r="T13" s="60" t="n">
        <v>26.25</v>
      </c>
      <c r="U13" s="160"/>
      <c r="V13" s="160"/>
      <c r="W13" s="183" t="s">
        <v>237</v>
      </c>
      <c r="X13" s="184" t="n">
        <f aca="false">AVERAGE(AI13:AX13)</f>
        <v>1</v>
      </c>
      <c r="Y13" s="184" t="n">
        <f aca="false">AVERAGE(AB13:AH13,AY13)</f>
        <v>1.0002664324619</v>
      </c>
      <c r="Z13" s="184" t="n">
        <f aca="false">AVERAGE(AV13:AX13)</f>
        <v>0.945982513914295</v>
      </c>
      <c r="AA13" s="184"/>
      <c r="AB13" s="180" t="n">
        <v>1.020663825262</v>
      </c>
      <c r="AC13" s="180" t="n">
        <v>0.938429862235639</v>
      </c>
      <c r="AD13" s="180" t="n">
        <v>0.874057595935677</v>
      </c>
      <c r="AE13" s="180" t="n">
        <v>0.828090000738656</v>
      </c>
      <c r="AF13" s="180" t="n">
        <v>0.817907368812884</v>
      </c>
      <c r="AG13" s="180" t="n">
        <v>0.922746527340321</v>
      </c>
      <c r="AH13" s="180" t="n">
        <v>1.25677000027116</v>
      </c>
      <c r="AI13" s="180" t="n">
        <v>0.731229887490083</v>
      </c>
      <c r="AJ13" s="180" t="n">
        <v>0.957258944744069</v>
      </c>
      <c r="AK13" s="180" t="n">
        <v>1.03019681725595</v>
      </c>
      <c r="AL13" s="180" t="n">
        <v>1.08040367769714</v>
      </c>
      <c r="AM13" s="180" t="n">
        <v>1.07265175236141</v>
      </c>
      <c r="AN13" s="180" t="n">
        <v>1.08473421718605</v>
      </c>
      <c r="AO13" s="180" t="n">
        <v>1.0825332296513</v>
      </c>
      <c r="AP13" s="180" t="n">
        <v>1.16817842705339</v>
      </c>
      <c r="AQ13" s="180" t="n">
        <v>1.04946716130745</v>
      </c>
      <c r="AR13" s="180" t="n">
        <v>1.06134929733327</v>
      </c>
      <c r="AS13" s="180" t="n">
        <v>1.10144306876419</v>
      </c>
      <c r="AT13" s="180" t="n">
        <v>0.905932649642264</v>
      </c>
      <c r="AU13" s="180" t="n">
        <v>0.836673327770542</v>
      </c>
      <c r="AV13" s="180" t="n">
        <v>0.922399533605683</v>
      </c>
      <c r="AW13" s="180" t="n">
        <v>1.08361180304907</v>
      </c>
      <c r="AX13" s="180" t="n">
        <v>0.831936205088129</v>
      </c>
      <c r="AY13" s="180" t="n">
        <v>1.34346627909883</v>
      </c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</row>
    <row r="14" customFormat="false" ht="12.75" hidden="false" customHeight="false" outlineLevel="0" collapsed="false">
      <c r="A14" s="170" t="n">
        <f aca="false">EOMONTH(A13,0)+1</f>
        <v>37012</v>
      </c>
      <c r="B14" s="36" t="n">
        <v>0.063236467695156</v>
      </c>
      <c r="C14" s="181" t="n">
        <f aca="false">WEEKDAY(D14)</f>
        <v>5</v>
      </c>
      <c r="D14" s="182" t="n">
        <f aca="false">D13+1</f>
        <v>45932</v>
      </c>
      <c r="E14" s="59" t="n">
        <f aca="false">F14-1</f>
        <v>53</v>
      </c>
      <c r="F14" s="59" t="n">
        <v>54</v>
      </c>
      <c r="G14" s="59" t="n">
        <f aca="false">F14+1</f>
        <v>55</v>
      </c>
      <c r="H14" s="176"/>
      <c r="I14" s="59" t="n">
        <f aca="false">J14-1</f>
        <v>29</v>
      </c>
      <c r="J14" s="59" t="n">
        <v>30</v>
      </c>
      <c r="K14" s="59" t="n">
        <f aca="false">J14+1</f>
        <v>31</v>
      </c>
      <c r="L14" s="168"/>
      <c r="M14" s="169" t="n">
        <v>36770</v>
      </c>
      <c r="N14" s="60" t="n">
        <v>35</v>
      </c>
      <c r="O14" s="60" t="n">
        <f aca="false">F43*0.9</f>
        <v>58.5</v>
      </c>
      <c r="P14" s="60" t="n">
        <v>35</v>
      </c>
      <c r="Q14" s="160"/>
      <c r="R14" s="60" t="n">
        <v>26.25</v>
      </c>
      <c r="S14" s="60" t="n">
        <f aca="false">F43*0.85</f>
        <v>55.25</v>
      </c>
      <c r="T14" s="60" t="n">
        <v>26.25</v>
      </c>
      <c r="U14" s="160"/>
      <c r="V14" s="160"/>
      <c r="W14" s="183" t="s">
        <v>238</v>
      </c>
      <c r="X14" s="184" t="n">
        <f aca="false">AVERAGE(AI14:AX14)</f>
        <v>1</v>
      </c>
      <c r="Y14" s="184" t="n">
        <f aca="false">AVERAGE(AB14:AH14,AY14)</f>
        <v>1</v>
      </c>
      <c r="Z14" s="184" t="n">
        <f aca="false">AVERAGE(AV14:AX14)</f>
        <v>0.906213629786497</v>
      </c>
      <c r="AA14" s="184"/>
      <c r="AB14" s="180" t="n">
        <v>1.07632883579864</v>
      </c>
      <c r="AC14" s="180" t="n">
        <v>0.921709379820127</v>
      </c>
      <c r="AD14" s="180" t="n">
        <v>0.849643066739466</v>
      </c>
      <c r="AE14" s="180" t="n">
        <v>0.829327309708102</v>
      </c>
      <c r="AF14" s="180" t="n">
        <v>0.810588068567645</v>
      </c>
      <c r="AG14" s="180" t="n">
        <v>0.876301399666034</v>
      </c>
      <c r="AH14" s="180" t="n">
        <v>1.11212839797887</v>
      </c>
      <c r="AI14" s="180" t="n">
        <v>0.648748576718201</v>
      </c>
      <c r="AJ14" s="180" t="n">
        <v>0.78300792110224</v>
      </c>
      <c r="AK14" s="180" t="n">
        <v>0.902414981233748</v>
      </c>
      <c r="AL14" s="180" t="n">
        <v>1.09275948457498</v>
      </c>
      <c r="AM14" s="180" t="n">
        <v>1.15271030312545</v>
      </c>
      <c r="AN14" s="180" t="n">
        <v>1.07177755313414</v>
      </c>
      <c r="AO14" s="180" t="n">
        <v>1.1061960209185</v>
      </c>
      <c r="AP14" s="180" t="n">
        <v>1.15480251552244</v>
      </c>
      <c r="AQ14" s="180" t="n">
        <v>1.0622080038051</v>
      </c>
      <c r="AR14" s="180" t="n">
        <v>1.21133832266763</v>
      </c>
      <c r="AS14" s="180" t="n">
        <v>1.22097273146682</v>
      </c>
      <c r="AT14" s="180" t="n">
        <v>0.955064136082426</v>
      </c>
      <c r="AU14" s="180" t="n">
        <v>0.919358560288832</v>
      </c>
      <c r="AV14" s="180" t="n">
        <v>0.893580080560744</v>
      </c>
      <c r="AW14" s="180" t="n">
        <v>0.926064990673892</v>
      </c>
      <c r="AX14" s="180" t="n">
        <v>0.898995818124853</v>
      </c>
      <c r="AY14" s="180" t="n">
        <v>1.52397354172112</v>
      </c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</row>
    <row r="15" customFormat="false" ht="12.75" hidden="false" customHeight="false" outlineLevel="0" collapsed="false">
      <c r="A15" s="170" t="n">
        <f aca="false">EOMONTH(A14,0)+1</f>
        <v>37043</v>
      </c>
      <c r="B15" s="36" t="n">
        <v>0.063558780318409</v>
      </c>
      <c r="C15" s="181" t="n">
        <f aca="false">WEEKDAY(D15)</f>
        <v>6</v>
      </c>
      <c r="D15" s="182" t="n">
        <f aca="false">D14+1</f>
        <v>45933</v>
      </c>
      <c r="E15" s="59" t="n">
        <f aca="false">F15-1</f>
        <v>53</v>
      </c>
      <c r="F15" s="59" t="n">
        <v>54</v>
      </c>
      <c r="G15" s="59" t="n">
        <f aca="false">F15+1</f>
        <v>55</v>
      </c>
      <c r="H15" s="176"/>
      <c r="I15" s="59" t="n">
        <f aca="false">J15-1</f>
        <v>29</v>
      </c>
      <c r="J15" s="59" t="n">
        <v>30</v>
      </c>
      <c r="K15" s="59" t="n">
        <f aca="false">J15+1</f>
        <v>31</v>
      </c>
      <c r="L15" s="168"/>
      <c r="M15" s="169" t="n">
        <v>36800</v>
      </c>
      <c r="N15" s="60" t="n">
        <v>35</v>
      </c>
      <c r="O15" s="60" t="n">
        <f aca="false">F44*0.9</f>
        <v>66.6</v>
      </c>
      <c r="P15" s="60" t="n">
        <v>35</v>
      </c>
      <c r="Q15" s="160"/>
      <c r="R15" s="60" t="n">
        <v>26.25</v>
      </c>
      <c r="S15" s="60" t="n">
        <f aca="false">F44*0.85</f>
        <v>62.9</v>
      </c>
      <c r="T15" s="60" t="n">
        <v>26.25</v>
      </c>
      <c r="U15" s="160"/>
      <c r="V15" s="160"/>
      <c r="W15" s="183" t="s">
        <v>239</v>
      </c>
      <c r="X15" s="184" t="n">
        <f aca="false">AVERAGE(AI15:AX15)</f>
        <v>1</v>
      </c>
      <c r="Y15" s="184" t="n">
        <f aca="false">AVERAGE(AB15:AH15,AY15)</f>
        <v>1</v>
      </c>
      <c r="Z15" s="184" t="n">
        <f aca="false">AVERAGE(AV15:AX15)</f>
        <v>0.738689499027648</v>
      </c>
      <c r="AA15" s="184"/>
      <c r="AB15" s="180" t="n">
        <v>1.14652553498494</v>
      </c>
      <c r="AC15" s="180" t="n">
        <v>0.988980430927574</v>
      </c>
      <c r="AD15" s="180" t="n">
        <v>0.902975137603376</v>
      </c>
      <c r="AE15" s="180" t="n">
        <v>0.83794035474928</v>
      </c>
      <c r="AF15" s="180" t="n">
        <v>0.804319381025426</v>
      </c>
      <c r="AG15" s="180" t="n">
        <v>0.819427861035095</v>
      </c>
      <c r="AH15" s="180" t="n">
        <v>1.05899064179283</v>
      </c>
      <c r="AI15" s="180" t="n">
        <v>0.619653315204328</v>
      </c>
      <c r="AJ15" s="180" t="n">
        <v>0.76152421611286</v>
      </c>
      <c r="AK15" s="180" t="n">
        <v>0.922065496358844</v>
      </c>
      <c r="AL15" s="180" t="n">
        <v>1.06857379205424</v>
      </c>
      <c r="AM15" s="180" t="n">
        <v>1.24120103981716</v>
      </c>
      <c r="AN15" s="180" t="n">
        <v>1.37541786834079</v>
      </c>
      <c r="AO15" s="180" t="n">
        <v>1.20691063013041</v>
      </c>
      <c r="AP15" s="180" t="n">
        <v>1.21952128275797</v>
      </c>
      <c r="AQ15" s="180" t="n">
        <v>1.31086073467804</v>
      </c>
      <c r="AR15" s="180" t="n">
        <v>1.28373179876406</v>
      </c>
      <c r="AS15" s="180" t="n">
        <v>1.12637960453146</v>
      </c>
      <c r="AT15" s="180" t="n">
        <v>0.862550020268856</v>
      </c>
      <c r="AU15" s="180" t="n">
        <v>0.785541703898045</v>
      </c>
      <c r="AV15" s="180" t="n">
        <v>0.750160233306947</v>
      </c>
      <c r="AW15" s="180" t="n">
        <v>0.741098191014915</v>
      </c>
      <c r="AX15" s="180" t="n">
        <v>0.724810072761081</v>
      </c>
      <c r="AY15" s="180" t="n">
        <v>1.44084065788148</v>
      </c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</row>
    <row r="16" customFormat="false" ht="12.75" hidden="false" customHeight="false" outlineLevel="0" collapsed="false">
      <c r="A16" s="170" t="n">
        <f aca="false">EOMONTH(A15,0)+1</f>
        <v>37073</v>
      </c>
      <c r="B16" s="36" t="n">
        <v>0.063805903150062</v>
      </c>
      <c r="C16" s="181" t="n">
        <f aca="false">WEEKDAY(D16)</f>
        <v>7</v>
      </c>
      <c r="D16" s="182" t="n">
        <f aca="false">D15+1</f>
        <v>45934</v>
      </c>
      <c r="E16" s="59" t="n">
        <f aca="false">F16-1</f>
        <v>53</v>
      </c>
      <c r="F16" s="59" t="n">
        <v>54</v>
      </c>
      <c r="G16" s="59" t="n">
        <f aca="false">F16+1</f>
        <v>55</v>
      </c>
      <c r="H16" s="176"/>
      <c r="I16" s="59" t="n">
        <f aca="false">J16-1</f>
        <v>29</v>
      </c>
      <c r="J16" s="59" t="n">
        <v>30</v>
      </c>
      <c r="K16" s="59" t="n">
        <f aca="false">J16+1</f>
        <v>31</v>
      </c>
      <c r="L16" s="168"/>
      <c r="M16" s="169" t="n">
        <v>36831</v>
      </c>
      <c r="N16" s="60" t="n">
        <v>35</v>
      </c>
      <c r="O16" s="60" t="n">
        <f aca="false">F45*0.9</f>
        <v>51.75</v>
      </c>
      <c r="P16" s="60" t="n">
        <v>35</v>
      </c>
      <c r="Q16" s="160"/>
      <c r="R16" s="60" t="n">
        <v>26.25</v>
      </c>
      <c r="S16" s="60" t="n">
        <f aca="false">F45*0.85</f>
        <v>48.875</v>
      </c>
      <c r="T16" s="60" t="n">
        <v>26.25</v>
      </c>
      <c r="U16" s="160"/>
      <c r="V16" s="160"/>
      <c r="W16" s="183" t="s">
        <v>240</v>
      </c>
      <c r="X16" s="184" t="n">
        <f aca="false">AVERAGE(AI16:AX16)</f>
        <v>1</v>
      </c>
      <c r="Y16" s="184" t="n">
        <f aca="false">AVERAGE(AB16:AH16,AY16)</f>
        <v>1</v>
      </c>
      <c r="Z16" s="184" t="n">
        <f aca="false">AVERAGE(AV16:AX16)</f>
        <v>0.814235908930372</v>
      </c>
      <c r="AA16" s="184"/>
      <c r="AB16" s="180" t="n">
        <v>1.13632982131089</v>
      </c>
      <c r="AC16" s="180" t="n">
        <v>0.972423915139925</v>
      </c>
      <c r="AD16" s="180" t="n">
        <v>0.883923205794797</v>
      </c>
      <c r="AE16" s="180" t="n">
        <v>0.820909335851544</v>
      </c>
      <c r="AF16" s="180" t="n">
        <v>0.810063078628872</v>
      </c>
      <c r="AG16" s="180" t="n">
        <v>0.802062142825351</v>
      </c>
      <c r="AH16" s="180" t="n">
        <v>1.04263218521143</v>
      </c>
      <c r="AI16" s="180" t="n">
        <v>0.655984714975992</v>
      </c>
      <c r="AJ16" s="180" t="n">
        <v>0.793140736627452</v>
      </c>
      <c r="AK16" s="180" t="n">
        <v>0.899088061517289</v>
      </c>
      <c r="AL16" s="180" t="n">
        <v>1.02246324952887</v>
      </c>
      <c r="AM16" s="180" t="n">
        <v>1.213314548598</v>
      </c>
      <c r="AN16" s="180" t="n">
        <v>1.34873996245602</v>
      </c>
      <c r="AO16" s="180" t="n">
        <v>1.14267189782315</v>
      </c>
      <c r="AP16" s="180" t="n">
        <v>1.15281196091886</v>
      </c>
      <c r="AQ16" s="180" t="n">
        <v>1.11487313244087</v>
      </c>
      <c r="AR16" s="180" t="n">
        <v>1.38103607756747</v>
      </c>
      <c r="AS16" s="180" t="n">
        <v>1.03870180498766</v>
      </c>
      <c r="AT16" s="180" t="n">
        <v>0.928120658097694</v>
      </c>
      <c r="AU16" s="180" t="n">
        <v>0.866345467669572</v>
      </c>
      <c r="AV16" s="180" t="n">
        <v>0.827231117591288</v>
      </c>
      <c r="AW16" s="180" t="n">
        <v>0.806388929650707</v>
      </c>
      <c r="AX16" s="180" t="n">
        <v>0.809087679549119</v>
      </c>
      <c r="AY16" s="180" t="n">
        <v>1.5316563152372</v>
      </c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</row>
    <row r="17" customFormat="false" ht="12.75" hidden="false" customHeight="false" outlineLevel="0" collapsed="false">
      <c r="A17" s="170" t="n">
        <f aca="false">EOMONTH(A16,0)+1</f>
        <v>37104</v>
      </c>
      <c r="B17" s="36" t="n">
        <v>0.063960834828292</v>
      </c>
      <c r="C17" s="181" t="n">
        <f aca="false">WEEKDAY(D17)</f>
        <v>1</v>
      </c>
      <c r="D17" s="182" t="n">
        <f aca="false">D16+1</f>
        <v>45935</v>
      </c>
      <c r="E17" s="59" t="n">
        <f aca="false">F17-1</f>
        <v>53</v>
      </c>
      <c r="F17" s="59" t="n">
        <v>54</v>
      </c>
      <c r="G17" s="59" t="n">
        <f aca="false">F17+1</f>
        <v>55</v>
      </c>
      <c r="H17" s="176"/>
      <c r="I17" s="59" t="n">
        <f aca="false">J17-1</f>
        <v>29</v>
      </c>
      <c r="J17" s="59" t="n">
        <v>30</v>
      </c>
      <c r="K17" s="59" t="n">
        <f aca="false">J17+1</f>
        <v>31</v>
      </c>
      <c r="L17" s="168"/>
      <c r="M17" s="169" t="n">
        <v>36861</v>
      </c>
      <c r="N17" s="60" t="n">
        <v>35</v>
      </c>
      <c r="O17" s="60" t="n">
        <f aca="false">F46*0.9</f>
        <v>54.675</v>
      </c>
      <c r="P17" s="60" t="n">
        <v>35</v>
      </c>
      <c r="Q17" s="160"/>
      <c r="R17" s="60" t="n">
        <v>26.25</v>
      </c>
      <c r="S17" s="60" t="n">
        <f aca="false">F46*0.85</f>
        <v>51.6375</v>
      </c>
      <c r="T17" s="60" t="n">
        <v>26.25</v>
      </c>
      <c r="U17" s="160"/>
      <c r="V17" s="160"/>
      <c r="W17" s="183" t="s">
        <v>241</v>
      </c>
      <c r="X17" s="184" t="n">
        <f aca="false">AVERAGE(AI17:AX17)</f>
        <v>1</v>
      </c>
      <c r="Y17" s="184" t="n">
        <f aca="false">AVERAGE(AB17:AH17,AY17)</f>
        <v>1</v>
      </c>
      <c r="Z17" s="184" t="n">
        <f aca="false">AVERAGE(AV17:AX17)</f>
        <v>0.738963878541608</v>
      </c>
      <c r="AA17" s="184"/>
      <c r="AB17" s="180" t="n">
        <v>1.10278464271206</v>
      </c>
      <c r="AC17" s="180" t="n">
        <v>0.980306006697894</v>
      </c>
      <c r="AD17" s="180" t="n">
        <v>0.92369271273714</v>
      </c>
      <c r="AE17" s="180" t="n">
        <v>0.851329014668465</v>
      </c>
      <c r="AF17" s="180" t="n">
        <v>0.852517965941157</v>
      </c>
      <c r="AG17" s="180" t="n">
        <v>0.9397944804615</v>
      </c>
      <c r="AH17" s="180" t="n">
        <v>1.0625230193113</v>
      </c>
      <c r="AI17" s="180" t="n">
        <v>0.568673890264585</v>
      </c>
      <c r="AJ17" s="180" t="n">
        <v>0.648808130415534</v>
      </c>
      <c r="AK17" s="180" t="n">
        <v>0.77236166497559</v>
      </c>
      <c r="AL17" s="180" t="n">
        <v>0.919773092079681</v>
      </c>
      <c r="AM17" s="180" t="n">
        <v>1.11061076037955</v>
      </c>
      <c r="AN17" s="180" t="n">
        <v>1.3490719461937</v>
      </c>
      <c r="AO17" s="180" t="n">
        <v>1.34891960882167</v>
      </c>
      <c r="AP17" s="180" t="n">
        <v>1.3265314526383</v>
      </c>
      <c r="AQ17" s="180" t="n">
        <v>1.36613506484597</v>
      </c>
      <c r="AR17" s="180" t="n">
        <v>1.37133411272647</v>
      </c>
      <c r="AS17" s="180" t="n">
        <v>1.40171754307499</v>
      </c>
      <c r="AT17" s="180" t="n">
        <v>0.851524830513659</v>
      </c>
      <c r="AU17" s="180" t="n">
        <v>0.747646267445484</v>
      </c>
      <c r="AV17" s="180" t="n">
        <v>0.735827575500086</v>
      </c>
      <c r="AW17" s="180" t="n">
        <v>0.780126101015571</v>
      </c>
      <c r="AX17" s="180" t="n">
        <v>0.700937959109167</v>
      </c>
      <c r="AY17" s="180" t="n">
        <v>1.28705215747049</v>
      </c>
      <c r="AZ17" s="178"/>
      <c r="BA17" s="178" t="n">
        <v>0.03</v>
      </c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</row>
    <row r="18" customFormat="false" ht="12.75" hidden="false" customHeight="false" outlineLevel="0" collapsed="false">
      <c r="A18" s="170" t="n">
        <f aca="false">EOMONTH(A17,0)+1</f>
        <v>37135</v>
      </c>
      <c r="B18" s="36" t="n">
        <v>0.064115766514483</v>
      </c>
      <c r="C18" s="181" t="n">
        <f aca="false">WEEKDAY(D18)</f>
        <v>2</v>
      </c>
      <c r="D18" s="182" t="n">
        <f aca="false">D17+1</f>
        <v>45936</v>
      </c>
      <c r="E18" s="59" t="n">
        <f aca="false">F18-1</f>
        <v>53</v>
      </c>
      <c r="F18" s="59" t="n">
        <v>54</v>
      </c>
      <c r="G18" s="59" t="n">
        <f aca="false">F18+1</f>
        <v>55</v>
      </c>
      <c r="H18" s="176"/>
      <c r="I18" s="59" t="n">
        <f aca="false">J18-1</f>
        <v>29</v>
      </c>
      <c r="J18" s="59" t="n">
        <v>30</v>
      </c>
      <c r="K18" s="59" t="n">
        <f aca="false">J18+1</f>
        <v>31</v>
      </c>
      <c r="L18" s="168"/>
      <c r="M18" s="169" t="n">
        <v>36892</v>
      </c>
      <c r="N18" s="60"/>
      <c r="O18" s="60" t="n">
        <f aca="false">F47*0.9</f>
        <v>83.1206611185081</v>
      </c>
      <c r="P18" s="60"/>
      <c r="Q18" s="160"/>
      <c r="R18" s="60"/>
      <c r="S18" s="60" t="n">
        <f aca="false">F47*0.85</f>
        <v>78.5028466119243</v>
      </c>
      <c r="T18" s="60"/>
      <c r="U18" s="160"/>
      <c r="V18" s="160"/>
      <c r="W18" s="183" t="s">
        <v>242</v>
      </c>
      <c r="X18" s="184" t="n">
        <f aca="false">AVERAGE(AI18:AX18)</f>
        <v>1</v>
      </c>
      <c r="Y18" s="184" t="n">
        <f aca="false">AVERAGE(AB18:AH18,AY18)</f>
        <v>1</v>
      </c>
      <c r="Z18" s="184" t="n">
        <f aca="false">AVERAGE(AV18:AX18)</f>
        <v>0.910344462251833</v>
      </c>
      <c r="AA18" s="184"/>
      <c r="AB18" s="180" t="n">
        <v>1.05151749847603</v>
      </c>
      <c r="AC18" s="180" t="n">
        <v>0.918976689656591</v>
      </c>
      <c r="AD18" s="180" t="n">
        <v>0.86947322997109</v>
      </c>
      <c r="AE18" s="180" t="n">
        <v>0.833210881834771</v>
      </c>
      <c r="AF18" s="180" t="n">
        <v>0.813312817108268</v>
      </c>
      <c r="AG18" s="180" t="n">
        <v>0.952984646273594</v>
      </c>
      <c r="AH18" s="180" t="n">
        <v>1.23372999011616</v>
      </c>
      <c r="AI18" s="180" t="n">
        <v>0.734565615506237</v>
      </c>
      <c r="AJ18" s="180" t="n">
        <v>0.802261496350855</v>
      </c>
      <c r="AK18" s="180" t="n">
        <v>0.899878847688632</v>
      </c>
      <c r="AL18" s="180" t="n">
        <v>0.961840555568175</v>
      </c>
      <c r="AM18" s="180" t="n">
        <v>1.00487626693698</v>
      </c>
      <c r="AN18" s="180" t="n">
        <v>1.28145835110292</v>
      </c>
      <c r="AO18" s="180" t="n">
        <v>1.19369464014893</v>
      </c>
      <c r="AP18" s="180" t="n">
        <v>1.19180324072585</v>
      </c>
      <c r="AQ18" s="180" t="n">
        <v>1.25005377190177</v>
      </c>
      <c r="AR18" s="180" t="n">
        <v>1.11442360575304</v>
      </c>
      <c r="AS18" s="180" t="n">
        <v>1.02899173914211</v>
      </c>
      <c r="AT18" s="180" t="n">
        <v>0.911286627135766</v>
      </c>
      <c r="AU18" s="180" t="n">
        <v>0.893831855283246</v>
      </c>
      <c r="AV18" s="180" t="n">
        <v>1.03157574332528</v>
      </c>
      <c r="AW18" s="180" t="n">
        <v>0.925629734782074</v>
      </c>
      <c r="AX18" s="180" t="n">
        <v>0.773827908648142</v>
      </c>
      <c r="AY18" s="180" t="n">
        <v>1.3267942465635</v>
      </c>
    </row>
    <row r="19" customFormat="false" ht="12.75" hidden="false" customHeight="false" outlineLevel="0" collapsed="false">
      <c r="A19" s="170" t="n">
        <f aca="false">EOMONTH(A18,0)+1</f>
        <v>37165</v>
      </c>
      <c r="B19" s="36" t="n">
        <v>0.064265700411923</v>
      </c>
      <c r="C19" s="181" t="n">
        <f aca="false">WEEKDAY(D19)</f>
        <v>3</v>
      </c>
      <c r="D19" s="182" t="n">
        <f aca="false">D18+1</f>
        <v>45937</v>
      </c>
      <c r="E19" s="59" t="n">
        <f aca="false">F19-1</f>
        <v>53</v>
      </c>
      <c r="F19" s="59" t="n">
        <v>54</v>
      </c>
      <c r="G19" s="59" t="n">
        <f aca="false">F19+1</f>
        <v>55</v>
      </c>
      <c r="H19" s="176"/>
      <c r="I19" s="59" t="n">
        <f aca="false">J19-1</f>
        <v>29</v>
      </c>
      <c r="J19" s="59" t="n">
        <v>30</v>
      </c>
      <c r="K19" s="59" t="n">
        <f aca="false">J19+1</f>
        <v>31</v>
      </c>
      <c r="L19" s="168"/>
      <c r="M19" s="169" t="n">
        <v>36923</v>
      </c>
      <c r="N19" s="60"/>
      <c r="O19" s="60" t="n">
        <f aca="false">F48*0.9</f>
        <v>78.7739807877558</v>
      </c>
      <c r="P19" s="60"/>
      <c r="Q19" s="160"/>
      <c r="R19" s="60"/>
      <c r="S19" s="60" t="n">
        <f aca="false">F48*0.85</f>
        <v>74.3976485217694</v>
      </c>
      <c r="T19" s="60"/>
      <c r="U19" s="160"/>
      <c r="V19" s="160"/>
      <c r="W19" s="183" t="s">
        <v>243</v>
      </c>
      <c r="X19" s="184" t="n">
        <f aca="false">AVERAGE(AI19:AX19)</f>
        <v>1</v>
      </c>
      <c r="Y19" s="184" t="n">
        <f aca="false">AVERAGE(AB19:AH19,AY19)</f>
        <v>1</v>
      </c>
      <c r="Z19" s="184" t="n">
        <f aca="false">AVERAGE(AV19:AX19)</f>
        <v>0.943292894329116</v>
      </c>
      <c r="AA19" s="184"/>
      <c r="AB19" s="180" t="n">
        <v>1.0298420863925</v>
      </c>
      <c r="AC19" s="180" t="n">
        <v>0.92093671336551</v>
      </c>
      <c r="AD19" s="180" t="n">
        <v>0.856652200592005</v>
      </c>
      <c r="AE19" s="180" t="n">
        <v>0.814990368848648</v>
      </c>
      <c r="AF19" s="180" t="n">
        <v>0.801071813102074</v>
      </c>
      <c r="AG19" s="180" t="n">
        <v>0.98911002141791</v>
      </c>
      <c r="AH19" s="180" t="n">
        <v>1.34479962187315</v>
      </c>
      <c r="AI19" s="180" t="n">
        <v>0.793242481283567</v>
      </c>
      <c r="AJ19" s="180" t="n">
        <v>0.895546967730736</v>
      </c>
      <c r="AK19" s="180" t="n">
        <v>0.897291136951033</v>
      </c>
      <c r="AL19" s="180" t="n">
        <v>0.961615959877038</v>
      </c>
      <c r="AM19" s="180" t="n">
        <v>1.07638897673109</v>
      </c>
      <c r="AN19" s="180" t="n">
        <v>1.03697049187354</v>
      </c>
      <c r="AO19" s="180" t="n">
        <v>0.982325614980933</v>
      </c>
      <c r="AP19" s="180" t="n">
        <v>1.00371558857811</v>
      </c>
      <c r="AQ19" s="180" t="n">
        <v>0.964215509268114</v>
      </c>
      <c r="AR19" s="180" t="n">
        <v>1.07014620444066</v>
      </c>
      <c r="AS19" s="180" t="n">
        <v>1.20692965578464</v>
      </c>
      <c r="AT19" s="180" t="n">
        <v>1.10380845489118</v>
      </c>
      <c r="AU19" s="180" t="n">
        <v>1.17792427462202</v>
      </c>
      <c r="AV19" s="180" t="n">
        <v>1.13790052047397</v>
      </c>
      <c r="AW19" s="180" t="n">
        <v>0.959658744030753</v>
      </c>
      <c r="AX19" s="180" t="n">
        <v>0.732319418482629</v>
      </c>
      <c r="AY19" s="180" t="n">
        <v>1.2425971744082</v>
      </c>
    </row>
    <row r="20" customFormat="false" ht="12.75" hidden="false" customHeight="false" outlineLevel="0" collapsed="false">
      <c r="A20" s="170" t="n">
        <f aca="false">EOMONTH(A19,0)+1</f>
        <v>37196</v>
      </c>
      <c r="B20" s="36" t="n">
        <v>0.064420632113776</v>
      </c>
      <c r="C20" s="181" t="n">
        <f aca="false">WEEKDAY(D20)</f>
        <v>4</v>
      </c>
      <c r="D20" s="182" t="n">
        <f aca="false">D19+1</f>
        <v>45938</v>
      </c>
      <c r="E20" s="59" t="n">
        <f aca="false">F20-1</f>
        <v>53</v>
      </c>
      <c r="F20" s="59" t="n">
        <v>54</v>
      </c>
      <c r="G20" s="59" t="n">
        <f aca="false">F20+1</f>
        <v>55</v>
      </c>
      <c r="H20" s="176"/>
      <c r="I20" s="59" t="n">
        <f aca="false">J20-1</f>
        <v>29</v>
      </c>
      <c r="J20" s="59" t="n">
        <v>30</v>
      </c>
      <c r="K20" s="59" t="n">
        <f aca="false">J20+1</f>
        <v>31</v>
      </c>
      <c r="L20" s="168"/>
      <c r="M20" s="169" t="n">
        <v>36951</v>
      </c>
      <c r="N20" s="60"/>
      <c r="O20" s="60" t="n">
        <f aca="false">F49*0.9</f>
        <v>74.2401288958714</v>
      </c>
      <c r="P20" s="60"/>
      <c r="Q20" s="160"/>
      <c r="R20" s="60"/>
      <c r="S20" s="60" t="n">
        <f aca="false">F49*0.85</f>
        <v>70.1156772905452</v>
      </c>
      <c r="T20" s="60"/>
      <c r="U20" s="160"/>
      <c r="V20" s="160"/>
      <c r="W20" s="183" t="s">
        <v>244</v>
      </c>
      <c r="X20" s="184" t="n">
        <f aca="false">AVERAGE(AI20:AX20)</f>
        <v>1</v>
      </c>
      <c r="Y20" s="184" t="n">
        <f aca="false">AVERAGE(AB20:AH20,AY20)</f>
        <v>1</v>
      </c>
      <c r="Z20" s="184" t="n">
        <f aca="false">AVERAGE(AV20:AX20)</f>
        <v>0.946540750487529</v>
      </c>
      <c r="AA20" s="184"/>
      <c r="AB20" s="180" t="n">
        <v>0.979039809627297</v>
      </c>
      <c r="AC20" s="180" t="n">
        <v>0.896223460208977</v>
      </c>
      <c r="AD20" s="180" t="n">
        <v>0.850690416299908</v>
      </c>
      <c r="AE20" s="180" t="n">
        <v>0.790635767897677</v>
      </c>
      <c r="AF20" s="180" t="n">
        <v>0.785400095968974</v>
      </c>
      <c r="AG20" s="180" t="n">
        <v>0.97151810169299</v>
      </c>
      <c r="AH20" s="180" t="n">
        <v>1.42451361516119</v>
      </c>
      <c r="AI20" s="180" t="n">
        <v>0.884561114533249</v>
      </c>
      <c r="AJ20" s="180" t="n">
        <v>0.956224480834808</v>
      </c>
      <c r="AK20" s="180" t="n">
        <v>0.975158371109311</v>
      </c>
      <c r="AL20" s="180" t="n">
        <v>0.98811169965274</v>
      </c>
      <c r="AM20" s="180" t="n">
        <v>0.99672839983147</v>
      </c>
      <c r="AN20" s="180" t="n">
        <v>0.98250136345616</v>
      </c>
      <c r="AO20" s="180" t="n">
        <v>0.955790769335725</v>
      </c>
      <c r="AP20" s="180" t="n">
        <v>0.948148639694061</v>
      </c>
      <c r="AQ20" s="180" t="n">
        <v>0.961412389248816</v>
      </c>
      <c r="AR20" s="180" t="n">
        <v>1.08002215627722</v>
      </c>
      <c r="AS20" s="180" t="n">
        <v>1.28139235282517</v>
      </c>
      <c r="AT20" s="180" t="n">
        <v>1.10914578545608</v>
      </c>
      <c r="AU20" s="180" t="n">
        <v>1.04118022628261</v>
      </c>
      <c r="AV20" s="180" t="n">
        <v>1.00883570774697</v>
      </c>
      <c r="AW20" s="180" t="n">
        <v>0.968703441469855</v>
      </c>
      <c r="AX20" s="180" t="n">
        <v>0.862083102245768</v>
      </c>
      <c r="AY20" s="180" t="n">
        <v>1.30197873314299</v>
      </c>
    </row>
    <row r="21" customFormat="false" ht="12.75" hidden="false" customHeight="false" outlineLevel="0" collapsed="false">
      <c r="A21" s="170" t="n">
        <f aca="false">EOMONTH(A20,0)+1</f>
        <v>37226</v>
      </c>
      <c r="B21" s="36" t="n">
        <v>0.064570566026372</v>
      </c>
      <c r="C21" s="181" t="n">
        <f aca="false">WEEKDAY(D21)</f>
        <v>5</v>
      </c>
      <c r="D21" s="182" t="n">
        <f aca="false">D20+1</f>
        <v>45939</v>
      </c>
      <c r="E21" s="59" t="n">
        <f aca="false">F21-1</f>
        <v>53</v>
      </c>
      <c r="F21" s="59" t="n">
        <v>54</v>
      </c>
      <c r="G21" s="59" t="n">
        <f aca="false">F21+1</f>
        <v>55</v>
      </c>
      <c r="H21" s="176"/>
      <c r="I21" s="59" t="n">
        <f aca="false">J21-1</f>
        <v>29</v>
      </c>
      <c r="J21" s="59" t="n">
        <v>30</v>
      </c>
      <c r="K21" s="59" t="n">
        <f aca="false">J21+1</f>
        <v>31</v>
      </c>
      <c r="L21" s="168"/>
      <c r="M21" s="169" t="n">
        <v>36982</v>
      </c>
      <c r="N21" s="60"/>
      <c r="O21" s="60" t="n">
        <f aca="false">F50*0.9</f>
        <v>69.1972864023016</v>
      </c>
      <c r="P21" s="60"/>
      <c r="Q21" s="160"/>
      <c r="R21" s="60"/>
      <c r="S21" s="60" t="n">
        <f aca="false">F50*0.85</f>
        <v>65.3529927132848</v>
      </c>
      <c r="T21" s="60"/>
      <c r="U21" s="160"/>
      <c r="V21" s="160"/>
      <c r="W21" s="183" t="s">
        <v>245</v>
      </c>
      <c r="X21" s="184" t="n">
        <f aca="false">AVERAGE(AI21:AX21)</f>
        <v>1.00427474943727</v>
      </c>
      <c r="Y21" s="184" t="n">
        <f aca="false">AVERAGE(AB21:AH21,AY21)</f>
        <v>1.00413325125347</v>
      </c>
      <c r="Z21" s="184" t="n">
        <f aca="false">AVERAGE(AV21:AX21)</f>
        <v>0.986632471270054</v>
      </c>
      <c r="AA21" s="184"/>
      <c r="AB21" s="180" t="n">
        <v>1.06750746622455</v>
      </c>
      <c r="AC21" s="180" t="n">
        <v>0.999714222094209</v>
      </c>
      <c r="AD21" s="180" t="n">
        <v>0.888437215694993</v>
      </c>
      <c r="AE21" s="180" t="n">
        <v>0.840759005319235</v>
      </c>
      <c r="AF21" s="180" t="n">
        <v>0.853781098052913</v>
      </c>
      <c r="AG21" s="180" t="n">
        <v>0.956868802884727</v>
      </c>
      <c r="AH21" s="180" t="n">
        <v>1.17752733754791</v>
      </c>
      <c r="AI21" s="180" t="n">
        <v>0.774420222557611</v>
      </c>
      <c r="AJ21" s="180" t="n">
        <v>0.868120409591074</v>
      </c>
      <c r="AK21" s="180" t="n">
        <v>0.862858064197405</v>
      </c>
      <c r="AL21" s="180" t="n">
        <v>0.908368260900092</v>
      </c>
      <c r="AM21" s="180" t="n">
        <v>0.862980084009246</v>
      </c>
      <c r="AN21" s="180" t="n">
        <v>0.847506646156776</v>
      </c>
      <c r="AO21" s="180" t="n">
        <v>0.836348476478142</v>
      </c>
      <c r="AP21" s="180" t="n">
        <v>0.815322865702864</v>
      </c>
      <c r="AQ21" s="180" t="n">
        <v>0.82062615030868</v>
      </c>
      <c r="AR21" s="180" t="n">
        <v>1.16240896686018</v>
      </c>
      <c r="AS21" s="180" t="n">
        <v>1.62280764139857</v>
      </c>
      <c r="AT21" s="180" t="n">
        <v>1.57336591201133</v>
      </c>
      <c r="AU21" s="180" t="n">
        <v>1.1533648770141</v>
      </c>
      <c r="AV21" s="180" t="n">
        <v>1.1380483759926</v>
      </c>
      <c r="AW21" s="180" t="n">
        <v>1.00746411869154</v>
      </c>
      <c r="AX21" s="180" t="n">
        <v>0.814384919126024</v>
      </c>
      <c r="AY21" s="180" t="n">
        <v>1.24847086220919</v>
      </c>
    </row>
    <row r="22" customFormat="false" ht="12.75" hidden="false" customHeight="false" outlineLevel="0" collapsed="false">
      <c r="A22" s="170" t="n">
        <f aca="false">EOMONTH(A21,0)+1</f>
        <v>37257</v>
      </c>
      <c r="B22" s="36" t="n">
        <v>0.064725497743885</v>
      </c>
      <c r="C22" s="181" t="n">
        <f aca="false">WEEKDAY(D22)</f>
        <v>6</v>
      </c>
      <c r="D22" s="182" t="n">
        <f aca="false">D21+1</f>
        <v>45940</v>
      </c>
      <c r="E22" s="59" t="n">
        <f aca="false">F22-1</f>
        <v>53</v>
      </c>
      <c r="F22" s="59" t="n">
        <v>54</v>
      </c>
      <c r="G22" s="59" t="n">
        <f aca="false">F22+1</f>
        <v>55</v>
      </c>
      <c r="H22" s="176"/>
      <c r="I22" s="59" t="n">
        <f aca="false">J22-1</f>
        <v>29</v>
      </c>
      <c r="J22" s="59" t="n">
        <v>30</v>
      </c>
      <c r="K22" s="59" t="n">
        <f aca="false">J22+1</f>
        <v>31</v>
      </c>
      <c r="L22" s="168"/>
      <c r="M22" s="169" t="n">
        <v>37012</v>
      </c>
      <c r="N22" s="60"/>
      <c r="O22" s="60" t="n">
        <f aca="false">F51*0.9</f>
        <v>67.2513978910078</v>
      </c>
      <c r="P22" s="60"/>
      <c r="Q22" s="160"/>
      <c r="R22" s="60"/>
      <c r="S22" s="60" t="n">
        <f aca="false">F51*0.85</f>
        <v>63.5152091192851</v>
      </c>
      <c r="T22" s="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0"/>
      <c r="AS22" s="0"/>
      <c r="AT22" s="0"/>
      <c r="AU22" s="0"/>
      <c r="AV22" s="0"/>
      <c r="AW22" s="0"/>
    </row>
    <row r="23" customFormat="false" ht="12.75" hidden="false" customHeight="false" outlineLevel="0" collapsed="false">
      <c r="A23" s="170" t="n">
        <f aca="false">EOMONTH(A22,0)+1</f>
        <v>37288</v>
      </c>
      <c r="B23" s="36" t="n">
        <v>0.064880429469354</v>
      </c>
      <c r="C23" s="181" t="n">
        <f aca="false">WEEKDAY(D23)</f>
        <v>7</v>
      </c>
      <c r="D23" s="182" t="n">
        <f aca="false">D22+1</f>
        <v>45941</v>
      </c>
      <c r="E23" s="59" t="n">
        <f aca="false">F23-1</f>
        <v>53</v>
      </c>
      <c r="F23" s="59" t="n">
        <v>54</v>
      </c>
      <c r="G23" s="59" t="n">
        <f aca="false">F23+1</f>
        <v>55</v>
      </c>
      <c r="H23" s="176"/>
      <c r="I23" s="59" t="n">
        <f aca="false">J23-1</f>
        <v>29</v>
      </c>
      <c r="J23" s="59" t="n">
        <v>30</v>
      </c>
      <c r="K23" s="59" t="n">
        <f aca="false">J23+1</f>
        <v>31</v>
      </c>
      <c r="L23" s="168"/>
      <c r="M23" s="169" t="n">
        <v>37043</v>
      </c>
      <c r="N23" s="60"/>
      <c r="O23" s="60" t="n">
        <f aca="false">F52*0.9</f>
        <v>66.7018128478643</v>
      </c>
      <c r="P23" s="60"/>
      <c r="Q23" s="160"/>
      <c r="R23" s="60"/>
      <c r="S23" s="60" t="n">
        <f aca="false">F52*0.85</f>
        <v>62.9961565785385</v>
      </c>
      <c r="T23" s="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0"/>
      <c r="AS23" s="0"/>
      <c r="AT23" s="0"/>
      <c r="AU23" s="0"/>
      <c r="AV23" s="0"/>
      <c r="AW23" s="0"/>
    </row>
    <row r="24" customFormat="false" ht="12.75" hidden="false" customHeight="false" outlineLevel="0" collapsed="false">
      <c r="A24" s="170" t="n">
        <f aca="false">EOMONTH(A23,0)+1</f>
        <v>37316</v>
      </c>
      <c r="B24" s="36" t="n">
        <v>0.065020367808875</v>
      </c>
      <c r="C24" s="181" t="n">
        <f aca="false">WEEKDAY(D24)</f>
        <v>1</v>
      </c>
      <c r="D24" s="182" t="n">
        <f aca="false">D23+1</f>
        <v>45942</v>
      </c>
      <c r="E24" s="59" t="n">
        <f aca="false">F24-1</f>
        <v>53</v>
      </c>
      <c r="F24" s="59" t="n">
        <v>54</v>
      </c>
      <c r="G24" s="59" t="n">
        <f aca="false">F24+1</f>
        <v>55</v>
      </c>
      <c r="H24" s="176"/>
      <c r="I24" s="59" t="n">
        <f aca="false">J24-1</f>
        <v>29</v>
      </c>
      <c r="J24" s="59" t="n">
        <v>30</v>
      </c>
      <c r="K24" s="59" t="n">
        <f aca="false">J24+1</f>
        <v>31</v>
      </c>
      <c r="L24" s="168"/>
      <c r="M24" s="169" t="n">
        <v>37073</v>
      </c>
      <c r="N24" s="60"/>
      <c r="O24" s="60" t="n">
        <f aca="false">F53*0.9</f>
        <v>66.728220316674</v>
      </c>
      <c r="P24" s="60"/>
      <c r="Q24" s="160"/>
      <c r="R24" s="60"/>
      <c r="S24" s="60" t="n">
        <f aca="false">F53*0.85</f>
        <v>63.0210969657477</v>
      </c>
      <c r="T24" s="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0"/>
      <c r="AS24" s="0"/>
      <c r="AT24" s="0"/>
      <c r="AU24" s="0"/>
      <c r="AV24" s="0"/>
      <c r="AW24" s="0"/>
    </row>
    <row r="25" customFormat="false" ht="12.75" hidden="false" customHeight="false" outlineLevel="0" collapsed="false">
      <c r="A25" s="170" t="n">
        <f aca="false">EOMONTH(A24,0)+1</f>
        <v>37347</v>
      </c>
      <c r="B25" s="36" t="n">
        <v>0.065175299549489</v>
      </c>
      <c r="C25" s="181" t="n">
        <f aca="false">WEEKDAY(D25)</f>
        <v>2</v>
      </c>
      <c r="D25" s="182" t="n">
        <f aca="false">D24+1</f>
        <v>45943</v>
      </c>
      <c r="E25" s="59" t="n">
        <f aca="false">F25-1</f>
        <v>53</v>
      </c>
      <c r="F25" s="59" t="n">
        <v>54</v>
      </c>
      <c r="G25" s="59" t="n">
        <f aca="false">F25+1</f>
        <v>55</v>
      </c>
      <c r="H25" s="176"/>
      <c r="I25" s="59" t="n">
        <f aca="false">J25-1</f>
        <v>29</v>
      </c>
      <c r="J25" s="59" t="n">
        <v>30</v>
      </c>
      <c r="K25" s="59" t="n">
        <f aca="false">J25+1</f>
        <v>31</v>
      </c>
      <c r="L25" s="168"/>
      <c r="M25" s="169" t="n">
        <v>37104</v>
      </c>
      <c r="N25" s="60"/>
      <c r="O25" s="60" t="n">
        <f aca="false">F54*0.9</f>
        <v>66.7274263998904</v>
      </c>
      <c r="P25" s="60"/>
      <c r="Q25" s="160"/>
      <c r="R25" s="60"/>
      <c r="S25" s="60" t="n">
        <f aca="false">F54*0.85</f>
        <v>63.020347155452</v>
      </c>
      <c r="T25" s="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0"/>
      <c r="AS25" s="0"/>
      <c r="AT25" s="0"/>
      <c r="AU25" s="0"/>
      <c r="AV25" s="0"/>
      <c r="AW25" s="0"/>
    </row>
    <row r="26" customFormat="false" ht="12.75" hidden="false" customHeight="false" outlineLevel="0" collapsed="false">
      <c r="A26" s="170" t="n">
        <f aca="false">EOMONTH(A25,0)+1</f>
        <v>37377</v>
      </c>
      <c r="B26" s="36" t="n">
        <v>0.065325233499592</v>
      </c>
      <c r="C26" s="181" t="n">
        <f aca="false">WEEKDAY(D26)</f>
        <v>3</v>
      </c>
      <c r="D26" s="182" t="n">
        <f aca="false">D25+1</f>
        <v>45944</v>
      </c>
      <c r="E26" s="59" t="n">
        <f aca="false">F26-1</f>
        <v>53</v>
      </c>
      <c r="F26" s="59" t="n">
        <v>54</v>
      </c>
      <c r="G26" s="59" t="n">
        <f aca="false">F26+1</f>
        <v>55</v>
      </c>
      <c r="H26" s="176"/>
      <c r="I26" s="59" t="n">
        <f aca="false">J26-1</f>
        <v>29</v>
      </c>
      <c r="J26" s="59" t="n">
        <v>30</v>
      </c>
      <c r="K26" s="59" t="n">
        <f aca="false">J26+1</f>
        <v>31</v>
      </c>
      <c r="L26" s="168"/>
      <c r="M26" s="169" t="n">
        <v>37135</v>
      </c>
      <c r="N26" s="60"/>
      <c r="O26" s="60" t="n">
        <f aca="false">F55*0.9</f>
        <v>66.703154511753</v>
      </c>
      <c r="P26" s="60"/>
      <c r="Q26" s="160"/>
      <c r="R26" s="60"/>
      <c r="S26" s="60" t="n">
        <f aca="false">F55*0.85</f>
        <v>62.9974237055445</v>
      </c>
      <c r="T26" s="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O26" s="185"/>
      <c r="AP26" s="185"/>
      <c r="AQ26" s="186"/>
      <c r="AR26" s="0"/>
      <c r="AS26" s="0"/>
      <c r="AT26" s="0"/>
      <c r="AU26" s="0"/>
      <c r="AV26" s="0"/>
      <c r="AW26" s="0"/>
    </row>
    <row r="27" customFormat="false" ht="12.75" hidden="false" customHeight="false" outlineLevel="0" collapsed="false">
      <c r="A27" s="170" t="n">
        <f aca="false">EOMONTH(A26,0)+1</f>
        <v>37408</v>
      </c>
      <c r="B27" s="36" t="n">
        <v>0.065392094923135</v>
      </c>
      <c r="C27" s="181" t="n">
        <f aca="false">WEEKDAY(D27)</f>
        <v>4</v>
      </c>
      <c r="D27" s="182" t="n">
        <f aca="false">D26+1</f>
        <v>45945</v>
      </c>
      <c r="E27" s="59" t="n">
        <f aca="false">F27-1</f>
        <v>53</v>
      </c>
      <c r="F27" s="59" t="n">
        <v>54</v>
      </c>
      <c r="G27" s="59" t="n">
        <f aca="false">F27+1</f>
        <v>55</v>
      </c>
      <c r="H27" s="176"/>
      <c r="I27" s="59" t="n">
        <f aca="false">J27-1</f>
        <v>29</v>
      </c>
      <c r="J27" s="59" t="n">
        <v>30</v>
      </c>
      <c r="K27" s="59" t="n">
        <f aca="false">J27+1</f>
        <v>31</v>
      </c>
      <c r="L27" s="168"/>
      <c r="M27" s="169" t="n">
        <v>37165</v>
      </c>
      <c r="N27" s="60"/>
      <c r="O27" s="60" t="n">
        <f aca="false">F56*0.9</f>
        <v>67.1014418243408</v>
      </c>
      <c r="P27" s="60"/>
      <c r="Q27" s="160"/>
      <c r="R27" s="60"/>
      <c r="S27" s="60" t="n">
        <f aca="false">F56*0.85</f>
        <v>63.3735839452108</v>
      </c>
      <c r="T27" s="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O27" s="185"/>
      <c r="AP27" s="185"/>
      <c r="AQ27" s="186"/>
      <c r="AR27" s="0"/>
      <c r="AS27" s="0"/>
      <c r="AT27" s="0"/>
      <c r="AU27" s="0"/>
      <c r="AV27" s="0"/>
      <c r="AW27" s="0"/>
    </row>
    <row r="28" customFormat="false" ht="12.75" hidden="false" customHeight="false" outlineLevel="0" collapsed="false">
      <c r="A28" s="170" t="n">
        <f aca="false">EOMONTH(A27,0)+1</f>
        <v>37438</v>
      </c>
      <c r="B28" s="36" t="n">
        <v>0.065402970462245</v>
      </c>
      <c r="C28" s="181" t="n">
        <f aca="false">WEEKDAY(D28)</f>
        <v>5</v>
      </c>
      <c r="D28" s="182" t="n">
        <f aca="false">D27+1</f>
        <v>45946</v>
      </c>
      <c r="E28" s="59" t="n">
        <f aca="false">F28-1</f>
        <v>53</v>
      </c>
      <c r="F28" s="59" t="n">
        <v>54</v>
      </c>
      <c r="G28" s="59" t="n">
        <f aca="false">F28+1</f>
        <v>55</v>
      </c>
      <c r="H28" s="176"/>
      <c r="I28" s="59" t="n">
        <f aca="false">J28-1</f>
        <v>25</v>
      </c>
      <c r="J28" s="59" t="n">
        <v>26</v>
      </c>
      <c r="K28" s="59" t="n">
        <f aca="false">J28+1</f>
        <v>27</v>
      </c>
      <c r="L28" s="168"/>
      <c r="M28" s="169" t="n">
        <v>37196</v>
      </c>
      <c r="N28" s="60"/>
      <c r="O28" s="60" t="n">
        <f aca="false">F57*0.9</f>
        <v>69.5941014950302</v>
      </c>
      <c r="P28" s="60"/>
      <c r="Q28" s="160"/>
      <c r="R28" s="60"/>
      <c r="S28" s="60" t="n">
        <f aca="false">F57*0.85</f>
        <v>65.7277625230841</v>
      </c>
      <c r="T28" s="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O28" s="185"/>
      <c r="AP28" s="185"/>
      <c r="AQ28" s="186"/>
      <c r="AR28" s="0"/>
      <c r="AS28" s="0"/>
      <c r="AT28" s="0"/>
      <c r="AU28" s="0"/>
      <c r="AV28" s="0"/>
      <c r="AW28" s="0"/>
    </row>
    <row r="29" customFormat="false" ht="12.75" hidden="false" customHeight="false" outlineLevel="0" collapsed="false">
      <c r="A29" s="170" t="n">
        <f aca="false">EOMONTH(A28,0)+1</f>
        <v>37469</v>
      </c>
      <c r="B29" s="36" t="n">
        <v>0.065414208519367</v>
      </c>
      <c r="C29" s="181" t="n">
        <f aca="false">WEEKDAY(D29)</f>
        <v>6</v>
      </c>
      <c r="D29" s="182" t="n">
        <f aca="false">D28+1</f>
        <v>45947</v>
      </c>
      <c r="E29" s="59" t="n">
        <f aca="false">F29-1</f>
        <v>53</v>
      </c>
      <c r="F29" s="59" t="n">
        <v>54</v>
      </c>
      <c r="G29" s="59" t="n">
        <f aca="false">F29+1</f>
        <v>55</v>
      </c>
      <c r="H29" s="176"/>
      <c r="I29" s="59" t="n">
        <f aca="false">J29-1</f>
        <v>25</v>
      </c>
      <c r="J29" s="59" t="n">
        <v>26</v>
      </c>
      <c r="K29" s="59" t="n">
        <f aca="false">J29+1</f>
        <v>27</v>
      </c>
      <c r="L29" s="168"/>
      <c r="M29" s="169" t="n">
        <v>37226</v>
      </c>
      <c r="N29" s="60"/>
      <c r="O29" s="60" t="n">
        <f aca="false">F58*0.9</f>
        <v>71.5109769626793</v>
      </c>
      <c r="P29" s="60"/>
      <c r="Q29" s="160"/>
      <c r="R29" s="60"/>
      <c r="S29" s="60" t="n">
        <f aca="false">F58*0.85</f>
        <v>67.5381449091971</v>
      </c>
      <c r="T29" s="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O29" s="185"/>
      <c r="AP29" s="185"/>
      <c r="AQ29" s="186"/>
      <c r="AR29" s="0"/>
      <c r="AS29" s="0"/>
      <c r="AT29" s="0"/>
      <c r="AU29" s="0"/>
      <c r="AV29" s="0"/>
      <c r="AW29" s="0"/>
    </row>
    <row r="30" customFormat="false" ht="12.75" hidden="false" customHeight="false" outlineLevel="0" collapsed="false">
      <c r="A30" s="170" t="n">
        <f aca="false">EOMONTH(A29,0)+1</f>
        <v>37500</v>
      </c>
      <c r="B30" s="36" t="n">
        <v>0.06542544657653</v>
      </c>
      <c r="C30" s="181" t="n">
        <f aca="false">WEEKDAY(D30)</f>
        <v>7</v>
      </c>
      <c r="D30" s="182" t="n">
        <f aca="false">D29+1</f>
        <v>45948</v>
      </c>
      <c r="E30" s="59" t="n">
        <f aca="false">F30-1</f>
        <v>53</v>
      </c>
      <c r="F30" s="59" t="n">
        <v>54</v>
      </c>
      <c r="G30" s="59" t="n">
        <f aca="false">F30+1</f>
        <v>55</v>
      </c>
      <c r="H30" s="176"/>
      <c r="I30" s="59" t="n">
        <f aca="false">J30-1</f>
        <v>25</v>
      </c>
      <c r="J30" s="59" t="n">
        <v>26</v>
      </c>
      <c r="K30" s="59" t="n">
        <f aca="false">J30+1</f>
        <v>27</v>
      </c>
      <c r="L30" s="168"/>
      <c r="M30" s="169"/>
      <c r="N30" s="60"/>
      <c r="O30" s="60"/>
      <c r="P30" s="60"/>
      <c r="Q30" s="160"/>
      <c r="R30" s="60"/>
      <c r="S30" s="60"/>
      <c r="T30" s="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O30" s="185"/>
      <c r="AP30" s="185"/>
      <c r="AQ30" s="186"/>
      <c r="AR30" s="0"/>
      <c r="AS30" s="0"/>
      <c r="AT30" s="0"/>
      <c r="AU30" s="0"/>
      <c r="AV30" s="0"/>
      <c r="AW30" s="0"/>
    </row>
    <row r="31" customFormat="false" ht="12.75" hidden="false" customHeight="false" outlineLevel="0" collapsed="false">
      <c r="A31" s="170" t="n">
        <f aca="false">EOMONTH(A30,0)+1</f>
        <v>37530</v>
      </c>
      <c r="B31" s="36" t="n">
        <v>0.06543632211576</v>
      </c>
      <c r="C31" s="181" t="n">
        <f aca="false">WEEKDAY(D31)</f>
        <v>1</v>
      </c>
      <c r="D31" s="182" t="n">
        <f aca="false">D30+1</f>
        <v>45949</v>
      </c>
      <c r="E31" s="59" t="n">
        <f aca="false">F31-1</f>
        <v>53</v>
      </c>
      <c r="F31" s="59" t="n">
        <v>54</v>
      </c>
      <c r="G31" s="59" t="n">
        <f aca="false">F31+1</f>
        <v>55</v>
      </c>
      <c r="H31" s="176"/>
      <c r="I31" s="59" t="n">
        <f aca="false">J31-1</f>
        <v>25</v>
      </c>
      <c r="J31" s="59" t="n">
        <v>26</v>
      </c>
      <c r="K31" s="59" t="n">
        <f aca="false">J31+1</f>
        <v>27</v>
      </c>
      <c r="L31" s="168"/>
      <c r="M31" s="169"/>
      <c r="N31" s="60"/>
      <c r="O31" s="60"/>
      <c r="P31" s="60"/>
      <c r="Q31" s="160"/>
      <c r="R31" s="60"/>
      <c r="S31" s="60"/>
      <c r="T31" s="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O31" s="185"/>
      <c r="AP31" s="185"/>
      <c r="AQ31" s="186"/>
      <c r="AR31" s="0"/>
      <c r="AS31" s="0"/>
      <c r="AT31" s="0"/>
      <c r="AU31" s="0"/>
      <c r="AV31" s="0"/>
      <c r="AW31" s="0"/>
    </row>
    <row r="32" customFormat="false" ht="12.75" hidden="false" customHeight="false" outlineLevel="0" collapsed="false">
      <c r="A32" s="170" t="n">
        <f aca="false">EOMONTH(A31,0)+1</f>
        <v>37561</v>
      </c>
      <c r="B32" s="36" t="n">
        <v>0.065447560173005</v>
      </c>
      <c r="C32" s="181" t="n">
        <f aca="false">WEEKDAY(D32)</f>
        <v>2</v>
      </c>
      <c r="D32" s="182" t="n">
        <f aca="false">D31+1</f>
        <v>45950</v>
      </c>
      <c r="E32" s="59" t="n">
        <f aca="false">F32-1</f>
        <v>53</v>
      </c>
      <c r="F32" s="59" t="n">
        <v>54</v>
      </c>
      <c r="G32" s="59" t="n">
        <f aca="false">F32+1</f>
        <v>55</v>
      </c>
      <c r="H32" s="176"/>
      <c r="I32" s="59" t="n">
        <f aca="false">J32-1</f>
        <v>25</v>
      </c>
      <c r="J32" s="59" t="n">
        <v>26</v>
      </c>
      <c r="K32" s="59" t="n">
        <f aca="false">J32+1</f>
        <v>27</v>
      </c>
      <c r="L32" s="168"/>
      <c r="M32" s="169"/>
      <c r="N32" s="60"/>
      <c r="O32" s="60"/>
      <c r="P32" s="60"/>
      <c r="Q32" s="160"/>
      <c r="R32" s="60"/>
      <c r="S32" s="60"/>
      <c r="T32" s="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O32" s="185"/>
      <c r="AP32" s="185"/>
      <c r="AQ32" s="186"/>
      <c r="AR32" s="0"/>
      <c r="AS32" s="0"/>
      <c r="AT32" s="0"/>
      <c r="AU32" s="0"/>
      <c r="AV32" s="0"/>
      <c r="AW32" s="0"/>
    </row>
    <row r="33" customFormat="false" ht="12.75" hidden="false" customHeight="false" outlineLevel="0" collapsed="false">
      <c r="A33" s="170" t="n">
        <f aca="false">EOMONTH(A32,0)+1</f>
        <v>37591</v>
      </c>
      <c r="B33" s="36" t="n">
        <v>0.065458435712315</v>
      </c>
      <c r="C33" s="181" t="n">
        <f aca="false">WEEKDAY(D33)</f>
        <v>3</v>
      </c>
      <c r="D33" s="182" t="n">
        <f aca="false">D32+1</f>
        <v>45951</v>
      </c>
      <c r="E33" s="59" t="n">
        <f aca="false">F33-1</f>
        <v>53</v>
      </c>
      <c r="F33" s="59" t="n">
        <v>54</v>
      </c>
      <c r="G33" s="59" t="n">
        <f aca="false">F33+1</f>
        <v>55</v>
      </c>
      <c r="H33" s="176"/>
      <c r="I33" s="59" t="n">
        <f aca="false">J33-1</f>
        <v>25</v>
      </c>
      <c r="J33" s="59" t="n">
        <v>26</v>
      </c>
      <c r="K33" s="59" t="n">
        <f aca="false">J33+1</f>
        <v>27</v>
      </c>
      <c r="L33" s="168"/>
      <c r="M33" s="169"/>
      <c r="N33" s="60"/>
      <c r="O33" s="60"/>
      <c r="P33" s="60"/>
      <c r="Q33" s="160"/>
      <c r="R33" s="60"/>
      <c r="S33" s="60"/>
      <c r="T33" s="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O33" s="185"/>
      <c r="AP33" s="185"/>
      <c r="AQ33" s="186"/>
      <c r="AR33" s="0"/>
      <c r="AS33" s="0"/>
      <c r="AT33" s="0"/>
      <c r="AU33" s="0"/>
      <c r="AV33" s="0"/>
      <c r="AW33" s="0"/>
    </row>
    <row r="34" customFormat="false" ht="12.75" hidden="false" customHeight="false" outlineLevel="0" collapsed="false">
      <c r="A34" s="170" t="n">
        <f aca="false">EOMONTH(A33,0)+1</f>
        <v>37622</v>
      </c>
      <c r="B34" s="36" t="n">
        <v>0.065469673769643</v>
      </c>
      <c r="C34" s="181" t="n">
        <f aca="false">WEEKDAY(D34)</f>
        <v>4</v>
      </c>
      <c r="D34" s="182" t="n">
        <f aca="false">D33+1</f>
        <v>45952</v>
      </c>
      <c r="E34" s="59" t="n">
        <f aca="false">F34-1</f>
        <v>53</v>
      </c>
      <c r="F34" s="59" t="n">
        <v>54</v>
      </c>
      <c r="G34" s="59" t="n">
        <f aca="false">F34+1</f>
        <v>55</v>
      </c>
      <c r="H34" s="176"/>
      <c r="I34" s="59" t="n">
        <f aca="false">J34-1</f>
        <v>25</v>
      </c>
      <c r="J34" s="59" t="n">
        <v>26</v>
      </c>
      <c r="K34" s="59" t="n">
        <f aca="false">J34+1</f>
        <v>27</v>
      </c>
      <c r="L34" s="168"/>
      <c r="M34" s="169"/>
      <c r="N34" s="60"/>
      <c r="O34" s="60"/>
      <c r="P34" s="60"/>
      <c r="Q34" s="160"/>
      <c r="R34" s="60"/>
      <c r="S34" s="60"/>
      <c r="T34" s="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O34" s="185"/>
      <c r="AP34" s="185"/>
      <c r="AQ34" s="186"/>
      <c r="AR34" s="0"/>
      <c r="AS34" s="0"/>
      <c r="AT34" s="0"/>
      <c r="AU34" s="0"/>
      <c r="AV34" s="0"/>
      <c r="AW34" s="0"/>
    </row>
    <row r="35" customFormat="false" ht="12.75" hidden="false" customHeight="false" outlineLevel="0" collapsed="false">
      <c r="A35" s="170" t="n">
        <f aca="false">EOMONTH(A34,0)+1</f>
        <v>37653</v>
      </c>
      <c r="B35" s="36" t="n">
        <v>0.065480911827013</v>
      </c>
      <c r="C35" s="181" t="n">
        <f aca="false">WEEKDAY(D35)</f>
        <v>5</v>
      </c>
      <c r="D35" s="182" t="n">
        <f aca="false">D34+1</f>
        <v>45953</v>
      </c>
      <c r="E35" s="59" t="n">
        <f aca="false">F35-1</f>
        <v>53</v>
      </c>
      <c r="F35" s="59" t="n">
        <v>54</v>
      </c>
      <c r="G35" s="59" t="n">
        <f aca="false">F35+1</f>
        <v>55</v>
      </c>
      <c r="H35" s="176"/>
      <c r="I35" s="59" t="n">
        <f aca="false">J35-1</f>
        <v>25</v>
      </c>
      <c r="J35" s="59" t="n">
        <v>26</v>
      </c>
      <c r="K35" s="59" t="n">
        <f aca="false">J35+1</f>
        <v>27</v>
      </c>
      <c r="L35" s="168"/>
      <c r="M35" s="169"/>
      <c r="N35" s="60"/>
      <c r="O35" s="60"/>
      <c r="P35" s="60"/>
      <c r="Q35" s="160"/>
      <c r="R35" s="60"/>
      <c r="S35" s="60"/>
      <c r="T35" s="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O35" s="185"/>
      <c r="AP35" s="185"/>
      <c r="AQ35" s="186"/>
      <c r="AR35" s="0"/>
      <c r="AS35" s="0"/>
      <c r="AT35" s="0"/>
      <c r="AU35" s="0"/>
      <c r="AV35" s="0"/>
      <c r="AW35" s="0"/>
    </row>
    <row r="36" customFormat="false" ht="12.75" hidden="false" customHeight="false" outlineLevel="0" collapsed="false">
      <c r="A36" s="170" t="n">
        <f aca="false">EOMONTH(A35,0)+1</f>
        <v>37681</v>
      </c>
      <c r="B36" s="36" t="n">
        <v>0.065491062330481</v>
      </c>
      <c r="C36" s="181" t="n">
        <f aca="false">WEEKDAY(D36)</f>
        <v>6</v>
      </c>
      <c r="D36" s="182" t="n">
        <f aca="false">D35+1</f>
        <v>45954</v>
      </c>
      <c r="E36" s="59" t="n">
        <f aca="false">F36-1</f>
        <v>53</v>
      </c>
      <c r="F36" s="59" t="n">
        <v>54</v>
      </c>
      <c r="G36" s="59" t="n">
        <f aca="false">F36+1</f>
        <v>55</v>
      </c>
      <c r="H36" s="176"/>
      <c r="I36" s="59" t="n">
        <f aca="false">J36-1</f>
        <v>25</v>
      </c>
      <c r="J36" s="59" t="n">
        <v>26</v>
      </c>
      <c r="K36" s="59" t="n">
        <f aca="false">J36+1</f>
        <v>27</v>
      </c>
      <c r="L36" s="168"/>
      <c r="M36" s="169"/>
      <c r="N36" s="60"/>
      <c r="O36" s="60"/>
      <c r="P36" s="60"/>
      <c r="Q36" s="160"/>
      <c r="R36" s="60"/>
      <c r="S36" s="60"/>
      <c r="T36" s="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</row>
    <row r="37" customFormat="false" ht="12.75" hidden="false" customHeight="false" outlineLevel="0" collapsed="false">
      <c r="A37" s="170" t="n">
        <f aca="false">EOMONTH(A36,0)+1</f>
        <v>37712</v>
      </c>
      <c r="B37" s="36" t="n">
        <v>0.06550230038793</v>
      </c>
      <c r="C37" s="181" t="n">
        <f aca="false">WEEKDAY(D37)</f>
        <v>7</v>
      </c>
      <c r="D37" s="182" t="n">
        <f aca="false">D36+1</f>
        <v>45955</v>
      </c>
      <c r="E37" s="59" t="n">
        <f aca="false">F37-1</f>
        <v>53</v>
      </c>
      <c r="F37" s="59" t="n">
        <v>54</v>
      </c>
      <c r="G37" s="59" t="n">
        <f aca="false">F37+1</f>
        <v>55</v>
      </c>
      <c r="H37" s="176"/>
      <c r="I37" s="59" t="n">
        <f aca="false">J37-1</f>
        <v>25</v>
      </c>
      <c r="J37" s="59" t="n">
        <v>26</v>
      </c>
      <c r="K37" s="59" t="n">
        <f aca="false">J37+1</f>
        <v>27</v>
      </c>
      <c r="L37" s="168"/>
      <c r="M37" s="169"/>
      <c r="N37" s="60"/>
      <c r="O37" s="60"/>
      <c r="P37" s="60"/>
      <c r="Q37" s="160"/>
      <c r="R37" s="60"/>
      <c r="S37" s="60"/>
      <c r="T37" s="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BA37" s="187"/>
    </row>
    <row r="38" customFormat="false" ht="12.75" hidden="false" customHeight="false" outlineLevel="0" collapsed="false">
      <c r="A38" s="170" t="n">
        <f aca="false">EOMONTH(A37,0)+1</f>
        <v>37742</v>
      </c>
      <c r="B38" s="36" t="n">
        <v>0.065513175927437</v>
      </c>
      <c r="C38" s="181" t="n">
        <f aca="false">WEEKDAY(D38)</f>
        <v>1</v>
      </c>
      <c r="D38" s="182" t="n">
        <f aca="false">D37+1</f>
        <v>45956</v>
      </c>
      <c r="E38" s="59" t="n">
        <f aca="false">F38-1</f>
        <v>53</v>
      </c>
      <c r="F38" s="59" t="n">
        <v>54</v>
      </c>
      <c r="G38" s="59" t="n">
        <f aca="false">F38+1</f>
        <v>55</v>
      </c>
      <c r="H38" s="176"/>
      <c r="I38" s="59" t="n">
        <f aca="false">J38-1</f>
        <v>25</v>
      </c>
      <c r="J38" s="59" t="n">
        <v>26</v>
      </c>
      <c r="K38" s="59" t="n">
        <f aca="false">J38+1</f>
        <v>27</v>
      </c>
      <c r="L38" s="168"/>
      <c r="M38" s="169"/>
      <c r="N38" s="60"/>
      <c r="O38" s="60"/>
      <c r="P38" s="60"/>
      <c r="Q38" s="160"/>
      <c r="R38" s="60"/>
      <c r="S38" s="60"/>
      <c r="T38" s="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</row>
    <row r="39" customFormat="false" ht="12.75" hidden="false" customHeight="false" outlineLevel="0" collapsed="false">
      <c r="A39" s="170" t="n">
        <f aca="false">EOMONTH(A38,0)+1</f>
        <v>37773</v>
      </c>
      <c r="B39" s="36" t="n">
        <v>0.065542399514821</v>
      </c>
      <c r="C39" s="181" t="n">
        <f aca="false">WEEKDAY(D39)</f>
        <v>2</v>
      </c>
      <c r="D39" s="182" t="n">
        <f aca="false">D38+1</f>
        <v>45957</v>
      </c>
      <c r="E39" s="59" t="n">
        <f aca="false">F39-1</f>
        <v>53</v>
      </c>
      <c r="F39" s="59" t="n">
        <v>54</v>
      </c>
      <c r="G39" s="59" t="n">
        <f aca="false">F39+1</f>
        <v>55</v>
      </c>
      <c r="H39" s="176"/>
      <c r="I39" s="59" t="n">
        <f aca="false">J39-1</f>
        <v>25</v>
      </c>
      <c r="J39" s="59" t="n">
        <v>26</v>
      </c>
      <c r="K39" s="59" t="n">
        <f aca="false">J39+1</f>
        <v>27</v>
      </c>
      <c r="L39" s="168"/>
      <c r="M39" s="169"/>
      <c r="N39" s="60"/>
      <c r="O39" s="60"/>
      <c r="P39" s="60"/>
      <c r="Q39" s="160"/>
      <c r="R39" s="60"/>
      <c r="S39" s="60"/>
      <c r="T39" s="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</row>
    <row r="40" customFormat="false" ht="12.75" hidden="false" customHeight="false" outlineLevel="0" collapsed="false">
      <c r="A40" s="170" t="n">
        <f aca="false">EOMONTH(A39,0)+1</f>
        <v>37803</v>
      </c>
      <c r="B40" s="36" t="n">
        <v>0.065580253349549</v>
      </c>
      <c r="C40" s="188"/>
      <c r="D40" s="189" t="n">
        <v>36707</v>
      </c>
      <c r="E40" s="59" t="n">
        <f aca="false">F40-1</f>
        <v>57.75</v>
      </c>
      <c r="F40" s="190" t="n">
        <v>58.75</v>
      </c>
      <c r="G40" s="59" t="n">
        <f aca="false">F40+1</f>
        <v>59.75</v>
      </c>
      <c r="H40" s="176"/>
      <c r="I40" s="59" t="n">
        <f aca="false">J40-1</f>
        <v>34</v>
      </c>
      <c r="J40" s="191" t="n">
        <v>35</v>
      </c>
      <c r="K40" s="59" t="n">
        <f aca="false">J40+1</f>
        <v>36</v>
      </c>
      <c r="L40" s="168"/>
      <c r="M40" s="169"/>
      <c r="N40" s="60"/>
      <c r="O40" s="60"/>
      <c r="P40" s="60"/>
      <c r="Q40" s="160"/>
      <c r="R40" s="60"/>
      <c r="S40" s="60"/>
      <c r="T40" s="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</row>
    <row r="41" customFormat="false" ht="12.75" hidden="false" customHeight="false" outlineLevel="0" collapsed="false">
      <c r="A41" s="170" t="n">
        <f aca="false">EOMONTH(A40,0)+1</f>
        <v>37834</v>
      </c>
      <c r="B41" s="36" t="n">
        <v>0.065619368979266</v>
      </c>
      <c r="C41" s="188"/>
      <c r="D41" s="189" t="n">
        <v>36737</v>
      </c>
      <c r="E41" s="59" t="n">
        <f aca="false">F41-1</f>
        <v>58.5</v>
      </c>
      <c r="F41" s="190" t="n">
        <v>59.5</v>
      </c>
      <c r="G41" s="59" t="n">
        <f aca="false">F41+1</f>
        <v>60.5</v>
      </c>
      <c r="H41" s="176"/>
      <c r="I41" s="59" t="n">
        <f aca="false">J41-1</f>
        <v>34</v>
      </c>
      <c r="J41" s="191" t="n">
        <v>35</v>
      </c>
      <c r="K41" s="59" t="n">
        <f aca="false">J41+1</f>
        <v>36</v>
      </c>
      <c r="L41" s="168"/>
      <c r="M41" s="169"/>
      <c r="N41" s="60"/>
      <c r="O41" s="60"/>
      <c r="P41" s="60"/>
      <c r="Q41" s="160"/>
      <c r="R41" s="60"/>
      <c r="S41" s="60"/>
      <c r="T41" s="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</row>
    <row r="42" customFormat="false" ht="12.75" hidden="false" customHeight="false" outlineLevel="0" collapsed="false">
      <c r="A42" s="170" t="n">
        <f aca="false">EOMONTH(A41,0)+1</f>
        <v>37865</v>
      </c>
      <c r="B42" s="36" t="n">
        <v>0.065658484609492</v>
      </c>
      <c r="C42" s="188"/>
      <c r="D42" s="189" t="n">
        <v>36768</v>
      </c>
      <c r="E42" s="59" t="n">
        <f aca="false">F42-1</f>
        <v>65</v>
      </c>
      <c r="F42" s="190" t="n">
        <v>66</v>
      </c>
      <c r="G42" s="59" t="n">
        <f aca="false">F42+1</f>
        <v>67</v>
      </c>
      <c r="H42" s="176"/>
      <c r="I42" s="59" t="n">
        <f aca="false">J42-1</f>
        <v>31</v>
      </c>
      <c r="J42" s="191" t="n">
        <v>32</v>
      </c>
      <c r="K42" s="59" t="n">
        <f aca="false">J42+1</f>
        <v>33</v>
      </c>
      <c r="L42" s="168"/>
      <c r="M42" s="169"/>
      <c r="N42" s="60"/>
      <c r="O42" s="60"/>
      <c r="P42" s="60"/>
      <c r="Q42" s="160"/>
      <c r="R42" s="60"/>
      <c r="S42" s="60"/>
      <c r="T42" s="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</row>
    <row r="43" customFormat="false" ht="12.75" hidden="false" customHeight="false" outlineLevel="0" collapsed="false">
      <c r="A43" s="170" t="n">
        <f aca="false">EOMONTH(A42,0)+1</f>
        <v>37895</v>
      </c>
      <c r="B43" s="36" t="n">
        <v>0.065696338445676</v>
      </c>
      <c r="C43" s="188"/>
      <c r="D43" s="189" t="n">
        <v>36799</v>
      </c>
      <c r="E43" s="59" t="n">
        <f aca="false">F43-1</f>
        <v>64</v>
      </c>
      <c r="F43" s="190" t="n">
        <v>65</v>
      </c>
      <c r="G43" s="59" t="n">
        <f aca="false">F43+1</f>
        <v>66</v>
      </c>
      <c r="H43" s="176"/>
      <c r="I43" s="59" t="n">
        <f aca="false">J43-1</f>
        <v>31</v>
      </c>
      <c r="J43" s="191" t="n">
        <v>32</v>
      </c>
      <c r="K43" s="59" t="n">
        <f aca="false">J43+1</f>
        <v>33</v>
      </c>
      <c r="L43" s="168"/>
      <c r="M43" s="169"/>
      <c r="N43" s="60"/>
      <c r="O43" s="60"/>
      <c r="P43" s="60"/>
      <c r="Q43" s="160"/>
      <c r="R43" s="60"/>
      <c r="S43" s="60"/>
      <c r="T43" s="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</row>
    <row r="44" customFormat="false" ht="12.75" hidden="false" customHeight="false" outlineLevel="0" collapsed="false">
      <c r="A44" s="170" t="n">
        <f aca="false">EOMONTH(A43,0)+1</f>
        <v>37926</v>
      </c>
      <c r="B44" s="36" t="n">
        <v>0.065735454076899</v>
      </c>
      <c r="C44" s="188"/>
      <c r="D44" s="189" t="n">
        <v>36829</v>
      </c>
      <c r="E44" s="59" t="n">
        <f aca="false">F44-1</f>
        <v>73</v>
      </c>
      <c r="F44" s="190" t="n">
        <v>74</v>
      </c>
      <c r="G44" s="59" t="n">
        <f aca="false">F44+1</f>
        <v>75</v>
      </c>
      <c r="H44" s="176"/>
      <c r="I44" s="59" t="n">
        <f aca="false">J44-1</f>
        <v>32</v>
      </c>
      <c r="J44" s="191" t="n">
        <v>33</v>
      </c>
      <c r="K44" s="59" t="n">
        <f aca="false">J44+1</f>
        <v>34</v>
      </c>
      <c r="L44" s="168"/>
      <c r="M44" s="169"/>
      <c r="N44" s="60"/>
      <c r="O44" s="60"/>
      <c r="P44" s="60"/>
      <c r="Q44" s="160"/>
      <c r="R44" s="60"/>
      <c r="S44" s="60"/>
      <c r="T44" s="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</row>
    <row r="45" customFormat="false" ht="12.75" hidden="false" customHeight="false" outlineLevel="0" collapsed="false">
      <c r="A45" s="170" t="n">
        <f aca="false">EOMONTH(A44,0)+1</f>
        <v>37956</v>
      </c>
      <c r="B45" s="36" t="n">
        <v>0.065773307914048</v>
      </c>
      <c r="C45" s="188"/>
      <c r="D45" s="189" t="n">
        <v>36860</v>
      </c>
      <c r="E45" s="59" t="n">
        <f aca="false">F45-1</f>
        <v>56.5</v>
      </c>
      <c r="F45" s="190" t="n">
        <v>57.5</v>
      </c>
      <c r="G45" s="59" t="n">
        <f aca="false">F45+1</f>
        <v>58.5</v>
      </c>
      <c r="H45" s="176"/>
      <c r="I45" s="59" t="n">
        <f aca="false">J45-1</f>
        <v>27.75</v>
      </c>
      <c r="J45" s="191" t="n">
        <v>28.75</v>
      </c>
      <c r="K45" s="59" t="n">
        <f aca="false">J45+1</f>
        <v>29.75</v>
      </c>
      <c r="L45" s="168"/>
      <c r="M45" s="169"/>
      <c r="N45" s="60"/>
      <c r="O45" s="60"/>
      <c r="P45" s="60"/>
      <c r="Q45" s="160"/>
      <c r="R45" s="60"/>
      <c r="S45" s="60"/>
      <c r="T45" s="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</row>
    <row r="46" customFormat="false" ht="12.75" hidden="false" customHeight="false" outlineLevel="0" collapsed="false">
      <c r="A46" s="170" t="n">
        <f aca="false">EOMONTH(A45,0)+1</f>
        <v>37987</v>
      </c>
      <c r="B46" s="36" t="n">
        <v>0.065812423546268</v>
      </c>
      <c r="C46" s="192"/>
      <c r="D46" s="189" t="n">
        <v>36890</v>
      </c>
      <c r="E46" s="59" t="n">
        <f aca="false">F46-1</f>
        <v>59.75</v>
      </c>
      <c r="F46" s="190" t="n">
        <v>60.75</v>
      </c>
      <c r="G46" s="59" t="n">
        <f aca="false">F46+1</f>
        <v>61.75</v>
      </c>
      <c r="H46" s="176"/>
      <c r="I46" s="59" t="n">
        <f aca="false">J46-1</f>
        <v>27.75</v>
      </c>
      <c r="J46" s="191" t="n">
        <v>28.75</v>
      </c>
      <c r="K46" s="59" t="n">
        <f aca="false">J46+1</f>
        <v>29.75</v>
      </c>
      <c r="L46" s="168"/>
      <c r="M46" s="169"/>
      <c r="N46" s="60"/>
      <c r="O46" s="60"/>
      <c r="P46" s="60"/>
      <c r="Q46" s="160"/>
      <c r="R46" s="60"/>
      <c r="S46" s="60"/>
      <c r="T46" s="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</row>
    <row r="47" customFormat="false" ht="12.75" hidden="false" customHeight="false" outlineLevel="0" collapsed="false">
      <c r="B47" s="36"/>
      <c r="C47" s="161"/>
      <c r="D47" s="189" t="n">
        <v>36921</v>
      </c>
      <c r="E47" s="160"/>
      <c r="F47" s="190" t="n">
        <v>92.3562901316756</v>
      </c>
      <c r="G47" s="160"/>
      <c r="H47" s="160"/>
      <c r="I47" s="160"/>
      <c r="J47" s="191" t="n">
        <v>33</v>
      </c>
      <c r="K47" s="160"/>
      <c r="L47" s="160"/>
      <c r="M47" s="169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</row>
    <row r="48" customFormat="false" ht="12.75" hidden="false" customHeight="false" outlineLevel="0" collapsed="false">
      <c r="B48" s="36"/>
      <c r="C48" s="161"/>
      <c r="D48" s="189" t="n">
        <v>36950</v>
      </c>
      <c r="E48" s="160"/>
      <c r="F48" s="190" t="n">
        <v>87.5266453197287</v>
      </c>
      <c r="G48" s="160"/>
      <c r="H48" s="160"/>
      <c r="I48" s="160"/>
      <c r="J48" s="191" t="n">
        <v>30</v>
      </c>
      <c r="K48" s="160"/>
      <c r="L48" s="160"/>
      <c r="M48" s="169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</row>
    <row r="49" customFormat="false" ht="12.75" hidden="false" customHeight="false" outlineLevel="0" collapsed="false">
      <c r="B49" s="36"/>
      <c r="C49" s="161"/>
      <c r="D49" s="189" t="n">
        <v>36980</v>
      </c>
      <c r="E49" s="160"/>
      <c r="F49" s="190" t="n">
        <v>82.4890321065238</v>
      </c>
      <c r="G49" s="160"/>
      <c r="H49" s="160"/>
      <c r="I49" s="160"/>
      <c r="J49" s="191" t="n">
        <v>31</v>
      </c>
      <c r="K49" s="160"/>
      <c r="L49" s="160"/>
      <c r="M49" s="169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R49" s="0"/>
      <c r="AS49" s="0"/>
      <c r="AT49" s="0"/>
      <c r="AU49" s="0"/>
      <c r="AV49" s="0"/>
      <c r="AW49" s="106"/>
    </row>
    <row r="50" customFormat="false" ht="12.75" hidden="false" customHeight="false" outlineLevel="0" collapsed="false">
      <c r="B50" s="36"/>
      <c r="C50" s="161"/>
      <c r="D50" s="189" t="n">
        <v>37011</v>
      </c>
      <c r="E50" s="160"/>
      <c r="F50" s="190" t="n">
        <v>76.8858737803351</v>
      </c>
      <c r="G50" s="160"/>
      <c r="H50" s="160"/>
      <c r="I50" s="160"/>
      <c r="J50" s="191" t="n">
        <v>29.5</v>
      </c>
      <c r="K50" s="160"/>
      <c r="L50" s="160"/>
      <c r="M50" s="169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R50" s="0"/>
      <c r="AS50" s="0"/>
      <c r="AT50" s="0"/>
      <c r="AU50" s="0"/>
      <c r="AV50" s="0"/>
      <c r="AW50" s="106"/>
    </row>
    <row r="51" customFormat="false" ht="12.75" hidden="false" customHeight="false" outlineLevel="0" collapsed="false">
      <c r="B51" s="36"/>
      <c r="C51" s="161"/>
      <c r="D51" s="189" t="n">
        <v>37041</v>
      </c>
      <c r="E51" s="160"/>
      <c r="F51" s="190" t="n">
        <v>74.7237754344531</v>
      </c>
      <c r="G51" s="160"/>
      <c r="H51" s="160"/>
      <c r="I51" s="160"/>
      <c r="J51" s="191" t="n">
        <v>32</v>
      </c>
      <c r="K51" s="160"/>
      <c r="L51" s="160"/>
      <c r="M51" s="169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R51" s="0"/>
      <c r="AS51" s="0"/>
      <c r="AT51" s="0"/>
      <c r="AU51" s="0"/>
      <c r="AV51" s="0"/>
      <c r="AW51" s="106"/>
    </row>
    <row r="52" customFormat="false" ht="12.75" hidden="false" customHeight="false" outlineLevel="0" collapsed="false">
      <c r="B52" s="36"/>
      <c r="C52" s="161"/>
      <c r="D52" s="189" t="n">
        <v>37072</v>
      </c>
      <c r="E52" s="160"/>
      <c r="F52" s="190" t="n">
        <v>74.1131253865159</v>
      </c>
      <c r="G52" s="160"/>
      <c r="H52" s="160"/>
      <c r="I52" s="160"/>
      <c r="J52" s="191" t="n">
        <v>32</v>
      </c>
      <c r="K52" s="160"/>
      <c r="L52" s="160"/>
      <c r="M52" s="169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R52" s="0"/>
      <c r="AS52" s="0"/>
      <c r="AT52" s="0"/>
      <c r="AU52" s="0"/>
      <c r="AV52" s="0"/>
      <c r="AW52" s="106"/>
    </row>
    <row r="53" customFormat="false" ht="12.75" hidden="false" customHeight="false" outlineLevel="0" collapsed="false">
      <c r="B53" s="36"/>
      <c r="C53" s="161"/>
      <c r="D53" s="189" t="n">
        <v>37102</v>
      </c>
      <c r="E53" s="160"/>
      <c r="F53" s="190" t="n">
        <v>74.1424670185267</v>
      </c>
      <c r="G53" s="160"/>
      <c r="H53" s="160"/>
      <c r="I53" s="160"/>
      <c r="J53" s="191" t="n">
        <v>30</v>
      </c>
      <c r="K53" s="160"/>
      <c r="L53" s="160"/>
      <c r="M53" s="169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R53" s="0"/>
      <c r="AS53" s="0"/>
      <c r="AT53" s="0"/>
      <c r="AU53" s="0"/>
      <c r="AV53" s="0"/>
      <c r="AW53" s="106"/>
    </row>
    <row r="54" customFormat="false" ht="12.75" hidden="false" customHeight="false" outlineLevel="0" collapsed="false">
      <c r="B54" s="36"/>
      <c r="C54" s="161"/>
      <c r="D54" s="189" t="n">
        <v>37133</v>
      </c>
      <c r="E54" s="160"/>
      <c r="F54" s="190" t="n">
        <v>74.1415848887671</v>
      </c>
      <c r="G54" s="160"/>
      <c r="H54" s="160"/>
      <c r="I54" s="160"/>
      <c r="J54" s="191" t="n">
        <v>30</v>
      </c>
      <c r="K54" s="160"/>
      <c r="L54" s="160"/>
      <c r="M54" s="169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R54" s="0"/>
      <c r="AS54" s="0"/>
      <c r="AT54" s="0"/>
      <c r="AU54" s="0"/>
      <c r="AV54" s="0"/>
      <c r="AW54" s="106"/>
    </row>
    <row r="55" customFormat="false" ht="12.75" hidden="false" customHeight="false" outlineLevel="0" collapsed="false">
      <c r="B55" s="36"/>
      <c r="C55" s="161"/>
      <c r="D55" s="189" t="n">
        <v>37164</v>
      </c>
      <c r="E55" s="160"/>
      <c r="F55" s="190" t="n">
        <v>74.1146161241699</v>
      </c>
      <c r="G55" s="160"/>
      <c r="H55" s="160"/>
      <c r="I55" s="160"/>
      <c r="J55" s="191" t="n">
        <v>30</v>
      </c>
      <c r="K55" s="160"/>
      <c r="L55" s="160"/>
      <c r="M55" s="169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R55" s="0"/>
      <c r="AS55" s="0"/>
      <c r="AT55" s="0"/>
      <c r="AU55" s="0"/>
      <c r="AV55" s="0"/>
      <c r="AW55" s="106"/>
    </row>
    <row r="56" customFormat="false" ht="12.75" hidden="false" customHeight="false" outlineLevel="0" collapsed="false">
      <c r="B56" s="36"/>
      <c r="C56" s="161"/>
      <c r="D56" s="189" t="n">
        <v>37194</v>
      </c>
      <c r="E56" s="160"/>
      <c r="F56" s="190" t="n">
        <v>74.5571575826009</v>
      </c>
      <c r="G56" s="160"/>
      <c r="H56" s="160"/>
      <c r="I56" s="160"/>
      <c r="J56" s="191" t="n">
        <v>30</v>
      </c>
      <c r="K56" s="160"/>
      <c r="L56" s="160"/>
      <c r="M56" s="169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R56" s="0"/>
      <c r="AS56" s="0"/>
      <c r="AT56" s="0"/>
      <c r="AU56" s="0"/>
      <c r="AV56" s="0"/>
      <c r="AW56" s="106"/>
    </row>
    <row r="57" customFormat="false" ht="12.75" hidden="false" customHeight="false" outlineLevel="0" collapsed="false">
      <c r="B57" s="36"/>
      <c r="C57" s="161"/>
      <c r="D57" s="189" t="n">
        <v>37225</v>
      </c>
      <c r="E57" s="160"/>
      <c r="F57" s="190" t="n">
        <v>77.3267794389224</v>
      </c>
      <c r="G57" s="160"/>
      <c r="H57" s="160"/>
      <c r="I57" s="160"/>
      <c r="J57" s="191" t="n">
        <v>33</v>
      </c>
      <c r="K57" s="160"/>
      <c r="L57" s="160"/>
      <c r="M57" s="169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R57" s="0"/>
      <c r="AS57" s="0"/>
      <c r="AT57" s="0"/>
      <c r="AU57" s="0"/>
      <c r="AV57" s="0"/>
      <c r="AW57" s="106"/>
    </row>
    <row r="58" customFormat="false" ht="12.75" hidden="false" customHeight="false" outlineLevel="0" collapsed="false">
      <c r="B58" s="36"/>
      <c r="C58" s="161"/>
      <c r="D58" s="189" t="n">
        <v>37255</v>
      </c>
      <c r="E58" s="160"/>
      <c r="F58" s="190" t="n">
        <v>79.4566410696436</v>
      </c>
      <c r="G58" s="160"/>
      <c r="H58" s="160"/>
      <c r="I58" s="160"/>
      <c r="J58" s="191" t="n">
        <v>33</v>
      </c>
      <c r="K58" s="160"/>
      <c r="L58" s="160"/>
      <c r="M58" s="169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R58" s="0"/>
      <c r="AS58" s="0"/>
      <c r="AT58" s="0"/>
      <c r="AU58" s="0"/>
      <c r="AV58" s="0"/>
      <c r="AW58" s="106"/>
    </row>
    <row r="59" customFormat="false" ht="12.75" hidden="false" customHeight="false" outlineLevel="0" collapsed="false">
      <c r="B59" s="36"/>
      <c r="C59" s="161"/>
      <c r="D59" s="160"/>
      <c r="E59" s="160"/>
      <c r="F59" s="160"/>
      <c r="G59" s="160"/>
      <c r="H59" s="160"/>
      <c r="I59" s="160"/>
      <c r="J59" s="160"/>
      <c r="K59" s="160"/>
      <c r="L59" s="160"/>
      <c r="M59" s="169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R59" s="0"/>
      <c r="AS59" s="0"/>
      <c r="AT59" s="0"/>
      <c r="AU59" s="0"/>
      <c r="AV59" s="0"/>
      <c r="AW59" s="106"/>
    </row>
    <row r="60" customFormat="false" ht="12.75" hidden="false" customHeight="false" outlineLevel="0" collapsed="false">
      <c r="B60" s="36"/>
      <c r="C60" s="161"/>
      <c r="D60" s="160"/>
      <c r="E60" s="160"/>
      <c r="F60" s="160"/>
      <c r="G60" s="160"/>
      <c r="H60" s="160"/>
      <c r="I60" s="160"/>
      <c r="J60" s="160"/>
      <c r="K60" s="160"/>
      <c r="L60" s="160"/>
      <c r="M60" s="169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R60" s="0"/>
      <c r="AS60" s="0"/>
      <c r="AT60" s="0"/>
      <c r="AU60" s="0"/>
      <c r="AV60" s="0"/>
      <c r="AW60" s="106"/>
    </row>
    <row r="61" customFormat="false" ht="12.75" hidden="false" customHeight="false" outlineLevel="0" collapsed="false">
      <c r="B61" s="36"/>
      <c r="C61" s="161"/>
      <c r="D61" s="160"/>
      <c r="E61" s="160"/>
      <c r="F61" s="160"/>
      <c r="G61" s="160"/>
      <c r="H61" s="160"/>
      <c r="I61" s="160"/>
      <c r="J61" s="160"/>
      <c r="K61" s="160"/>
      <c r="L61" s="160"/>
      <c r="M61" s="169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R61" s="0"/>
      <c r="AS61" s="0"/>
      <c r="AT61" s="0"/>
      <c r="AU61" s="0"/>
      <c r="AV61" s="0"/>
      <c r="AW61" s="106"/>
    </row>
    <row r="62" customFormat="false" ht="12.75" hidden="false" customHeight="false" outlineLevel="0" collapsed="false">
      <c r="B62" s="36"/>
      <c r="C62" s="161"/>
      <c r="D62" s="160"/>
      <c r="E62" s="160"/>
      <c r="F62" s="160"/>
      <c r="G62" s="160"/>
      <c r="H62" s="160"/>
      <c r="I62" s="160"/>
      <c r="J62" s="160"/>
      <c r="K62" s="160"/>
      <c r="L62" s="160"/>
      <c r="M62" s="169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R62" s="0"/>
      <c r="AS62" s="0"/>
      <c r="AT62" s="0"/>
      <c r="AU62" s="0"/>
      <c r="AV62" s="0"/>
      <c r="AW62" s="106"/>
    </row>
    <row r="63" customFormat="false" ht="12.75" hidden="false" customHeight="false" outlineLevel="0" collapsed="false">
      <c r="B63" s="36"/>
      <c r="C63" s="161"/>
      <c r="D63" s="160"/>
      <c r="E63" s="160"/>
      <c r="F63" s="160"/>
      <c r="G63" s="160"/>
      <c r="H63" s="160"/>
      <c r="I63" s="160"/>
      <c r="J63" s="160"/>
      <c r="K63" s="160"/>
      <c r="L63" s="160"/>
      <c r="M63" s="169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R63" s="0"/>
      <c r="AS63" s="0"/>
      <c r="AT63" s="0"/>
      <c r="AU63" s="0"/>
      <c r="AV63" s="0"/>
      <c r="AW63" s="106"/>
    </row>
    <row r="64" customFormat="false" ht="12.75" hidden="false" customHeight="false" outlineLevel="0" collapsed="false">
      <c r="B64" s="36"/>
      <c r="C64" s="161"/>
      <c r="D64" s="160"/>
      <c r="E64" s="160"/>
      <c r="F64" s="160"/>
      <c r="G64" s="160"/>
      <c r="H64" s="160"/>
      <c r="I64" s="160"/>
      <c r="J64" s="160"/>
      <c r="K64" s="160"/>
      <c r="L64" s="160"/>
      <c r="M64" s="169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R64" s="0"/>
      <c r="AS64" s="0"/>
      <c r="AT64" s="0"/>
      <c r="AU64" s="0"/>
      <c r="AV64" s="0"/>
      <c r="AW64" s="106"/>
    </row>
    <row r="65" customFormat="false" ht="12.75" hidden="false" customHeight="false" outlineLevel="0" collapsed="false">
      <c r="B65" s="36"/>
      <c r="C65" s="161"/>
      <c r="D65" s="160"/>
      <c r="E65" s="160"/>
      <c r="F65" s="160"/>
      <c r="G65" s="160"/>
      <c r="H65" s="160"/>
      <c r="I65" s="160"/>
      <c r="J65" s="160"/>
      <c r="K65" s="160"/>
      <c r="L65" s="160"/>
      <c r="M65" s="169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R65" s="0"/>
      <c r="AS65" s="0"/>
      <c r="AT65" s="0"/>
      <c r="AU65" s="0"/>
      <c r="AV65" s="0"/>
      <c r="AW65" s="106"/>
    </row>
    <row r="66" customFormat="false" ht="12.75" hidden="false" customHeight="false" outlineLevel="0" collapsed="false">
      <c r="B66" s="36"/>
      <c r="C66" s="161"/>
      <c r="D66" s="160"/>
      <c r="E66" s="160"/>
      <c r="F66" s="160"/>
      <c r="G66" s="160"/>
      <c r="H66" s="160"/>
      <c r="I66" s="160"/>
      <c r="J66" s="160"/>
      <c r="K66" s="160"/>
      <c r="L66" s="160"/>
      <c r="M66" s="169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R66" s="0"/>
      <c r="AS66" s="0"/>
      <c r="AT66" s="0"/>
      <c r="AU66" s="0"/>
      <c r="AV66" s="0"/>
      <c r="AW66" s="106"/>
    </row>
    <row r="67" customFormat="false" ht="12.75" hidden="false" customHeight="false" outlineLevel="0" collapsed="false">
      <c r="B67" s="36"/>
      <c r="C67" s="161"/>
      <c r="D67" s="160"/>
      <c r="E67" s="160"/>
      <c r="F67" s="160"/>
      <c r="G67" s="160"/>
      <c r="H67" s="160"/>
      <c r="I67" s="160"/>
      <c r="J67" s="160"/>
      <c r="K67" s="160"/>
      <c r="L67" s="160"/>
      <c r="M67" s="169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R67" s="0"/>
      <c r="AS67" s="0"/>
      <c r="AT67" s="0"/>
      <c r="AU67" s="0"/>
      <c r="AV67" s="0"/>
      <c r="AW67" s="106"/>
    </row>
    <row r="68" customFormat="false" ht="12.75" hidden="false" customHeight="false" outlineLevel="0" collapsed="false">
      <c r="B68" s="36"/>
      <c r="C68" s="161"/>
      <c r="D68" s="160"/>
      <c r="E68" s="160"/>
      <c r="F68" s="160"/>
      <c r="G68" s="160"/>
      <c r="H68" s="160"/>
      <c r="I68" s="160"/>
      <c r="J68" s="160"/>
      <c r="K68" s="160"/>
      <c r="L68" s="160"/>
      <c r="M68" s="169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R68" s="0"/>
      <c r="AS68" s="0"/>
      <c r="AT68" s="0"/>
      <c r="AU68" s="0"/>
      <c r="AV68" s="0"/>
      <c r="AW68" s="106"/>
    </row>
    <row r="69" customFormat="false" ht="12.75" hidden="false" customHeight="false" outlineLevel="0" collapsed="false">
      <c r="B69" s="36"/>
      <c r="C69" s="161"/>
      <c r="D69" s="160"/>
      <c r="E69" s="160"/>
      <c r="F69" s="160"/>
      <c r="G69" s="160"/>
      <c r="H69" s="160"/>
      <c r="I69" s="160"/>
      <c r="J69" s="160"/>
      <c r="K69" s="160"/>
      <c r="L69" s="160"/>
      <c r="M69" s="169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R69" s="0"/>
      <c r="AS69" s="0"/>
      <c r="AT69" s="0"/>
      <c r="AU69" s="0"/>
      <c r="AV69" s="0"/>
      <c r="AW69" s="106"/>
    </row>
    <row r="70" customFormat="false" ht="12.75" hidden="false" customHeight="false" outlineLevel="0" collapsed="false">
      <c r="B70" s="36"/>
      <c r="C70" s="161"/>
      <c r="D70" s="160"/>
      <c r="E70" s="160"/>
      <c r="F70" s="160"/>
      <c r="G70" s="160"/>
      <c r="H70" s="160"/>
      <c r="I70" s="160"/>
      <c r="J70" s="160"/>
      <c r="K70" s="160"/>
      <c r="L70" s="160"/>
      <c r="M70" s="169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R70" s="0"/>
      <c r="AS70" s="0"/>
      <c r="AT70" s="0"/>
      <c r="AU70" s="0"/>
      <c r="AV70" s="0"/>
      <c r="AW70" s="106"/>
    </row>
    <row r="71" customFormat="false" ht="12.75" hidden="false" customHeight="false" outlineLevel="0" collapsed="false">
      <c r="B71" s="36"/>
      <c r="C71" s="161"/>
      <c r="D71" s="160"/>
      <c r="E71" s="160"/>
      <c r="F71" s="160"/>
      <c r="G71" s="160"/>
      <c r="H71" s="160"/>
      <c r="I71" s="160"/>
      <c r="J71" s="160"/>
      <c r="K71" s="160"/>
      <c r="L71" s="160"/>
      <c r="M71" s="169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R71" s="0"/>
      <c r="AS71" s="0"/>
      <c r="AT71" s="0"/>
      <c r="AU71" s="0"/>
      <c r="AV71" s="0"/>
      <c r="AW71" s="106"/>
    </row>
    <row r="72" customFormat="false" ht="12.75" hidden="false" customHeight="false" outlineLevel="0" collapsed="false">
      <c r="B72" s="36"/>
      <c r="C72" s="161"/>
      <c r="D72" s="160"/>
      <c r="E72" s="160"/>
      <c r="F72" s="160"/>
      <c r="G72" s="160"/>
      <c r="H72" s="160"/>
      <c r="I72" s="160"/>
      <c r="J72" s="160"/>
      <c r="K72" s="160"/>
      <c r="L72" s="160"/>
      <c r="M72" s="169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R72" s="0"/>
      <c r="AS72" s="0"/>
      <c r="AT72" s="0"/>
      <c r="AU72" s="0"/>
      <c r="AV72" s="0"/>
      <c r="AW72" s="106"/>
    </row>
    <row r="73" customFormat="false" ht="12.75" hidden="false" customHeight="false" outlineLevel="0" collapsed="false">
      <c r="B73" s="36"/>
      <c r="C73" s="161"/>
      <c r="D73" s="160"/>
      <c r="E73" s="160"/>
      <c r="F73" s="160"/>
      <c r="G73" s="160"/>
      <c r="H73" s="160"/>
      <c r="I73" s="160"/>
      <c r="J73" s="160"/>
      <c r="K73" s="160"/>
      <c r="L73" s="160"/>
      <c r="M73" s="169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R73" s="0"/>
      <c r="AS73" s="0"/>
      <c r="AT73" s="0"/>
      <c r="AU73" s="0"/>
      <c r="AV73" s="0"/>
      <c r="AW73" s="106"/>
    </row>
    <row r="74" customFormat="false" ht="12.75" hidden="false" customHeight="false" outlineLevel="0" collapsed="false">
      <c r="B74" s="36"/>
      <c r="C74" s="161"/>
      <c r="D74" s="160"/>
      <c r="E74" s="160"/>
      <c r="F74" s="160"/>
      <c r="G74" s="160"/>
      <c r="H74" s="160"/>
      <c r="I74" s="160"/>
      <c r="J74" s="160"/>
      <c r="K74" s="160"/>
      <c r="L74" s="160"/>
      <c r="M74" s="169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R74" s="0"/>
      <c r="AS74" s="0"/>
      <c r="AT74" s="0"/>
      <c r="AU74" s="0"/>
      <c r="AV74" s="0"/>
      <c r="AW74" s="106"/>
    </row>
    <row r="75" customFormat="false" ht="12.75" hidden="false" customHeight="false" outlineLevel="0" collapsed="false">
      <c r="B75" s="36"/>
      <c r="C75" s="161"/>
      <c r="D75" s="160"/>
      <c r="E75" s="160"/>
      <c r="F75" s="160"/>
      <c r="G75" s="160"/>
      <c r="H75" s="160"/>
      <c r="I75" s="160"/>
      <c r="J75" s="160"/>
      <c r="K75" s="160"/>
      <c r="L75" s="160"/>
      <c r="M75" s="169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R75" s="0"/>
      <c r="AS75" s="0"/>
      <c r="AT75" s="0"/>
      <c r="AU75" s="0"/>
      <c r="AV75" s="0"/>
      <c r="AW75" s="106"/>
    </row>
    <row r="76" customFormat="false" ht="12.75" hidden="false" customHeight="false" outlineLevel="0" collapsed="false">
      <c r="B76" s="36"/>
      <c r="C76" s="161"/>
      <c r="D76" s="160"/>
      <c r="E76" s="160"/>
      <c r="F76" s="160"/>
      <c r="G76" s="160"/>
      <c r="H76" s="160"/>
      <c r="I76" s="160"/>
      <c r="J76" s="160"/>
      <c r="K76" s="160"/>
      <c r="L76" s="160"/>
      <c r="M76" s="169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R76" s="0"/>
      <c r="AS76" s="0"/>
      <c r="AT76" s="0"/>
      <c r="AU76" s="0"/>
      <c r="AV76" s="0"/>
      <c r="AW76" s="106"/>
    </row>
    <row r="77" customFormat="false" ht="12.75" hidden="false" customHeight="false" outlineLevel="0" collapsed="false">
      <c r="B77" s="36"/>
      <c r="C77" s="161"/>
      <c r="D77" s="160"/>
      <c r="E77" s="160"/>
      <c r="F77" s="160"/>
      <c r="G77" s="160"/>
      <c r="H77" s="160"/>
      <c r="I77" s="160"/>
      <c r="J77" s="160"/>
      <c r="K77" s="160"/>
      <c r="L77" s="160"/>
      <c r="M77" s="169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R77" s="0"/>
      <c r="AS77" s="0"/>
      <c r="AT77" s="0"/>
      <c r="AU77" s="0"/>
      <c r="AV77" s="0"/>
      <c r="AW77" s="106"/>
    </row>
    <row r="78" customFormat="false" ht="12.75" hidden="false" customHeight="false" outlineLevel="0" collapsed="false">
      <c r="B78" s="36"/>
      <c r="C78" s="161"/>
      <c r="D78" s="160"/>
      <c r="E78" s="160"/>
      <c r="F78" s="160"/>
      <c r="G78" s="160"/>
      <c r="H78" s="160"/>
      <c r="I78" s="160"/>
      <c r="J78" s="160"/>
      <c r="K78" s="160"/>
      <c r="L78" s="160"/>
      <c r="M78" s="169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R78" s="0"/>
      <c r="AS78" s="0"/>
      <c r="AT78" s="0"/>
      <c r="AU78" s="0"/>
      <c r="AV78" s="0"/>
      <c r="AW78" s="106"/>
    </row>
    <row r="79" customFormat="false" ht="12.75" hidden="false" customHeight="false" outlineLevel="0" collapsed="false">
      <c r="B79" s="36"/>
      <c r="C79" s="161"/>
      <c r="D79" s="160"/>
      <c r="E79" s="160"/>
      <c r="F79" s="160"/>
      <c r="G79" s="160"/>
      <c r="H79" s="160"/>
      <c r="I79" s="160"/>
      <c r="J79" s="160"/>
      <c r="K79" s="160"/>
      <c r="L79" s="160"/>
      <c r="M79" s="169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R79" s="0"/>
      <c r="AS79" s="0"/>
      <c r="AT79" s="0"/>
      <c r="AU79" s="0"/>
      <c r="AV79" s="0"/>
      <c r="AW79" s="106"/>
    </row>
    <row r="80" customFormat="false" ht="12.75" hidden="false" customHeight="false" outlineLevel="0" collapsed="false">
      <c r="B80" s="36"/>
      <c r="C80" s="161"/>
      <c r="D80" s="160"/>
      <c r="E80" s="160"/>
      <c r="F80" s="160"/>
      <c r="G80" s="160"/>
      <c r="H80" s="160"/>
      <c r="I80" s="160"/>
      <c r="J80" s="160"/>
      <c r="K80" s="160"/>
      <c r="L80" s="160"/>
      <c r="M80" s="169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R80" s="0"/>
      <c r="AS80" s="0"/>
      <c r="AT80" s="0"/>
      <c r="AU80" s="0"/>
      <c r="AV80" s="0"/>
      <c r="AW80" s="106"/>
    </row>
    <row r="81" customFormat="false" ht="12.75" hidden="false" customHeight="false" outlineLevel="0" collapsed="false">
      <c r="B81" s="36"/>
      <c r="C81" s="161"/>
      <c r="D81" s="160"/>
      <c r="E81" s="160"/>
      <c r="F81" s="160"/>
      <c r="G81" s="160"/>
      <c r="H81" s="160"/>
      <c r="I81" s="160"/>
      <c r="J81" s="160"/>
      <c r="K81" s="160"/>
      <c r="L81" s="160"/>
      <c r="M81" s="169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R81" s="0"/>
      <c r="AS81" s="0"/>
      <c r="AT81" s="0"/>
      <c r="AU81" s="0"/>
      <c r="AV81" s="0"/>
      <c r="AW81" s="106"/>
    </row>
    <row r="82" customFormat="false" ht="12.75" hidden="false" customHeight="false" outlineLevel="0" collapsed="false">
      <c r="B82" s="36"/>
      <c r="C82" s="161"/>
      <c r="D82" s="160"/>
      <c r="E82" s="160"/>
      <c r="F82" s="160"/>
      <c r="G82" s="160"/>
      <c r="H82" s="160"/>
      <c r="I82" s="160"/>
      <c r="J82" s="160"/>
      <c r="K82" s="160"/>
      <c r="L82" s="160"/>
      <c r="M82" s="169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R82" s="0"/>
      <c r="AS82" s="0"/>
      <c r="AT82" s="0"/>
      <c r="AU82" s="0"/>
      <c r="AV82" s="0"/>
      <c r="AW82" s="106"/>
    </row>
    <row r="83" customFormat="false" ht="12.75" hidden="false" customHeight="false" outlineLevel="0" collapsed="false">
      <c r="B83" s="36"/>
      <c r="C83" s="161"/>
      <c r="D83" s="160"/>
      <c r="E83" s="160"/>
      <c r="F83" s="160"/>
      <c r="G83" s="160"/>
      <c r="H83" s="160"/>
      <c r="I83" s="160"/>
      <c r="J83" s="160"/>
      <c r="K83" s="160"/>
      <c r="L83" s="160"/>
      <c r="M83" s="169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R83" s="0"/>
      <c r="AS83" s="0"/>
      <c r="AT83" s="0"/>
      <c r="AU83" s="0"/>
      <c r="AV83" s="0"/>
      <c r="AW83" s="106"/>
    </row>
    <row r="84" customFormat="false" ht="12.75" hidden="false" customHeight="false" outlineLevel="0" collapsed="false">
      <c r="B84" s="36"/>
      <c r="C84" s="161"/>
      <c r="D84" s="160"/>
      <c r="E84" s="160"/>
      <c r="F84" s="160"/>
      <c r="G84" s="160"/>
      <c r="H84" s="160"/>
      <c r="I84" s="160"/>
      <c r="J84" s="160"/>
      <c r="K84" s="160"/>
      <c r="L84" s="160"/>
      <c r="M84" s="169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R84" s="0"/>
      <c r="AS84" s="0"/>
      <c r="AT84" s="0"/>
      <c r="AU84" s="0"/>
      <c r="AV84" s="0"/>
      <c r="AW84" s="106"/>
    </row>
    <row r="85" customFormat="false" ht="12.75" hidden="false" customHeight="false" outlineLevel="0" collapsed="false">
      <c r="B85" s="36"/>
      <c r="D85" s="160"/>
      <c r="E85" s="160"/>
      <c r="F85" s="160"/>
      <c r="G85" s="160"/>
      <c r="H85" s="160"/>
      <c r="I85" s="160"/>
      <c r="J85" s="160"/>
      <c r="K85" s="160"/>
      <c r="L85" s="160"/>
      <c r="M85" s="169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R85" s="0"/>
      <c r="AS85" s="0"/>
      <c r="AT85" s="0"/>
      <c r="AU85" s="0"/>
      <c r="AV85" s="0"/>
      <c r="AW85" s="106"/>
    </row>
    <row r="86" customFormat="false" ht="12.75" hidden="false" customHeight="false" outlineLevel="0" collapsed="false">
      <c r="B86" s="36"/>
      <c r="D86" s="160"/>
      <c r="E86" s="160"/>
      <c r="F86" s="160"/>
      <c r="G86" s="160"/>
      <c r="H86" s="160"/>
      <c r="I86" s="160"/>
      <c r="J86" s="160"/>
      <c r="K86" s="160"/>
      <c r="L86" s="160"/>
      <c r="M86" s="169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R86" s="0"/>
      <c r="AS86" s="0"/>
      <c r="AT86" s="0"/>
      <c r="AU86" s="0"/>
      <c r="AV86" s="0"/>
      <c r="AW86" s="106"/>
    </row>
    <row r="87" customFormat="false" ht="12.75" hidden="false" customHeight="false" outlineLevel="0" collapsed="false">
      <c r="B87" s="36"/>
      <c r="D87" s="160"/>
      <c r="E87" s="160"/>
      <c r="F87" s="160"/>
      <c r="G87" s="160"/>
      <c r="H87" s="160"/>
      <c r="I87" s="160"/>
      <c r="J87" s="160"/>
      <c r="K87" s="160"/>
      <c r="L87" s="160"/>
      <c r="M87" s="169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R87" s="0"/>
      <c r="AS87" s="0"/>
      <c r="AT87" s="0"/>
      <c r="AU87" s="0"/>
      <c r="AV87" s="0"/>
      <c r="AW87" s="106"/>
    </row>
    <row r="88" customFormat="false" ht="12.75" hidden="false" customHeight="false" outlineLevel="0" collapsed="false">
      <c r="B88" s="36"/>
      <c r="D88" s="160"/>
      <c r="E88" s="160"/>
      <c r="F88" s="160"/>
      <c r="G88" s="160"/>
      <c r="H88" s="160"/>
      <c r="I88" s="160"/>
      <c r="J88" s="160"/>
      <c r="K88" s="160"/>
      <c r="L88" s="160"/>
      <c r="M88" s="169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R88" s="106"/>
      <c r="AS88" s="106"/>
      <c r="AT88" s="106"/>
      <c r="AU88" s="106"/>
      <c r="AV88" s="106"/>
      <c r="AW88" s="106"/>
    </row>
    <row r="89" customFormat="false" ht="12.75" hidden="false" customHeight="false" outlineLevel="0" collapsed="false">
      <c r="B89" s="36"/>
      <c r="D89" s="160"/>
      <c r="E89" s="160"/>
      <c r="F89" s="160"/>
      <c r="G89" s="160"/>
      <c r="H89" s="160"/>
      <c r="I89" s="160"/>
      <c r="J89" s="160"/>
      <c r="K89" s="160"/>
      <c r="L89" s="160"/>
      <c r="M89" s="169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R89" s="106"/>
      <c r="AS89" s="106"/>
      <c r="AT89" s="106"/>
      <c r="AU89" s="106"/>
      <c r="AV89" s="106"/>
      <c r="AW89" s="106"/>
    </row>
    <row r="90" customFormat="false" ht="12.75" hidden="false" customHeight="false" outlineLevel="0" collapsed="false">
      <c r="B90" s="36"/>
      <c r="D90" s="160"/>
      <c r="E90" s="160"/>
      <c r="F90" s="160"/>
      <c r="G90" s="160"/>
      <c r="H90" s="160"/>
      <c r="I90" s="160"/>
      <c r="J90" s="160"/>
      <c r="K90" s="160"/>
      <c r="L90" s="160"/>
      <c r="M90" s="169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R90" s="106"/>
      <c r="AS90" s="106"/>
      <c r="AT90" s="106"/>
      <c r="AU90" s="106"/>
      <c r="AV90" s="106"/>
      <c r="AW90" s="106"/>
    </row>
    <row r="91" customFormat="false" ht="12.75" hidden="false" customHeight="false" outlineLevel="0" collapsed="false">
      <c r="B91" s="36"/>
      <c r="D91" s="160"/>
      <c r="E91" s="160"/>
      <c r="F91" s="160"/>
      <c r="G91" s="160"/>
      <c r="H91" s="160"/>
      <c r="I91" s="160"/>
      <c r="J91" s="160"/>
      <c r="K91" s="160"/>
      <c r="L91" s="160"/>
      <c r="M91" s="169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R91" s="106"/>
      <c r="AS91" s="106"/>
      <c r="AT91" s="106"/>
      <c r="AU91" s="106"/>
      <c r="AV91" s="106"/>
      <c r="AW91" s="106"/>
    </row>
    <row r="92" customFormat="false" ht="12.75" hidden="false" customHeight="false" outlineLevel="0" collapsed="false">
      <c r="B92" s="36"/>
      <c r="D92" s="160"/>
      <c r="E92" s="160"/>
      <c r="F92" s="160"/>
      <c r="G92" s="160"/>
      <c r="H92" s="160"/>
      <c r="I92" s="160"/>
      <c r="J92" s="160"/>
      <c r="K92" s="160"/>
      <c r="L92" s="160"/>
      <c r="M92" s="169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R92" s="106"/>
      <c r="AS92" s="106"/>
      <c r="AT92" s="106"/>
      <c r="AU92" s="106"/>
      <c r="AV92" s="106"/>
      <c r="AW92" s="106"/>
    </row>
    <row r="93" customFormat="false" ht="12.75" hidden="false" customHeight="false" outlineLevel="0" collapsed="false">
      <c r="A93" s="0"/>
      <c r="B93" s="36"/>
      <c r="D93" s="160"/>
      <c r="E93" s="160"/>
      <c r="F93" s="160"/>
      <c r="G93" s="160"/>
      <c r="H93" s="160"/>
      <c r="I93" s="160"/>
      <c r="J93" s="160"/>
      <c r="K93" s="160"/>
      <c r="L93" s="160"/>
      <c r="M93" s="169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R93" s="106"/>
      <c r="AS93" s="106"/>
      <c r="AT93" s="106"/>
      <c r="AU93" s="106"/>
      <c r="AV93" s="106"/>
      <c r="AW93" s="106"/>
    </row>
    <row r="94" customFormat="false" ht="12.75" hidden="false" customHeight="false" outlineLevel="0" collapsed="false">
      <c r="A94" s="0"/>
      <c r="B94" s="36"/>
      <c r="D94" s="160"/>
      <c r="E94" s="160"/>
      <c r="F94" s="160"/>
      <c r="G94" s="160"/>
      <c r="H94" s="160"/>
      <c r="I94" s="160"/>
      <c r="J94" s="160"/>
      <c r="K94" s="160"/>
      <c r="L94" s="160"/>
      <c r="M94" s="169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R94" s="106"/>
      <c r="AS94" s="106"/>
      <c r="AT94" s="106"/>
      <c r="AU94" s="106"/>
      <c r="AV94" s="106"/>
      <c r="AW94" s="106"/>
    </row>
    <row r="95" customFormat="false" ht="12.75" hidden="false" customHeight="false" outlineLevel="0" collapsed="false">
      <c r="A95" s="0"/>
      <c r="B95" s="36"/>
      <c r="D95" s="160"/>
      <c r="E95" s="160"/>
      <c r="F95" s="160"/>
      <c r="G95" s="160"/>
      <c r="H95" s="160"/>
      <c r="I95" s="160"/>
      <c r="J95" s="160"/>
      <c r="K95" s="160"/>
      <c r="L95" s="160"/>
      <c r="M95" s="169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R95" s="106"/>
      <c r="AS95" s="106"/>
      <c r="AT95" s="106"/>
      <c r="AU95" s="106"/>
      <c r="AV95" s="106"/>
      <c r="AW95" s="106"/>
    </row>
    <row r="96" customFormat="false" ht="12.75" hidden="false" customHeight="false" outlineLevel="0" collapsed="false">
      <c r="A96" s="0"/>
      <c r="B96" s="36"/>
      <c r="D96" s="160"/>
      <c r="E96" s="160"/>
      <c r="F96" s="160"/>
      <c r="G96" s="160"/>
      <c r="H96" s="160"/>
      <c r="I96" s="160"/>
      <c r="J96" s="160"/>
      <c r="K96" s="160"/>
      <c r="L96" s="160"/>
      <c r="M96" s="169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R96" s="106"/>
      <c r="AS96" s="106"/>
      <c r="AT96" s="106"/>
      <c r="AU96" s="106"/>
      <c r="AV96" s="106"/>
      <c r="AW96" s="106"/>
    </row>
    <row r="97" customFormat="false" ht="12.75" hidden="false" customHeight="false" outlineLevel="0" collapsed="false">
      <c r="A97" s="0"/>
      <c r="B97" s="36"/>
      <c r="D97" s="160"/>
      <c r="E97" s="160"/>
      <c r="F97" s="160"/>
      <c r="G97" s="160"/>
      <c r="H97" s="160"/>
      <c r="I97" s="160"/>
      <c r="J97" s="160"/>
      <c r="K97" s="160"/>
      <c r="L97" s="160"/>
      <c r="M97" s="169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R97" s="106"/>
      <c r="AS97" s="106"/>
      <c r="AT97" s="106"/>
      <c r="AU97" s="106"/>
      <c r="AV97" s="106"/>
      <c r="AW97" s="106"/>
    </row>
    <row r="98" customFormat="false" ht="12.75" hidden="false" customHeight="false" outlineLevel="0" collapsed="false">
      <c r="A98" s="0"/>
      <c r="B98" s="36"/>
      <c r="D98" s="160"/>
      <c r="E98" s="160"/>
      <c r="F98" s="160"/>
      <c r="G98" s="160"/>
      <c r="H98" s="160"/>
      <c r="I98" s="160"/>
      <c r="J98" s="160"/>
      <c r="K98" s="160"/>
      <c r="L98" s="160"/>
      <c r="M98" s="169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R98" s="106"/>
      <c r="AS98" s="106"/>
      <c r="AT98" s="106"/>
      <c r="AU98" s="106"/>
      <c r="AV98" s="106"/>
      <c r="AW98" s="106"/>
    </row>
    <row r="99" customFormat="false" ht="12.75" hidden="false" customHeight="false" outlineLevel="0" collapsed="false">
      <c r="A99" s="0"/>
      <c r="B99" s="36"/>
      <c r="D99" s="160"/>
      <c r="E99" s="160"/>
      <c r="F99" s="160"/>
      <c r="G99" s="160"/>
      <c r="H99" s="160"/>
      <c r="I99" s="160"/>
      <c r="J99" s="160"/>
      <c r="K99" s="160"/>
      <c r="L99" s="160"/>
      <c r="M99" s="169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R99" s="106"/>
      <c r="AS99" s="106"/>
      <c r="AT99" s="106"/>
      <c r="AU99" s="106"/>
      <c r="AV99" s="106"/>
      <c r="AW99" s="106"/>
    </row>
    <row r="100" customFormat="false" ht="12.75" hidden="false" customHeight="false" outlineLevel="0" collapsed="false">
      <c r="B100" s="36"/>
      <c r="D100" s="160"/>
      <c r="E100" s="160"/>
      <c r="F100" s="160"/>
      <c r="G100" s="160"/>
      <c r="H100" s="160"/>
      <c r="I100" s="160"/>
      <c r="J100" s="160"/>
      <c r="K100" s="160"/>
      <c r="L100" s="160"/>
      <c r="M100" s="169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R100" s="106"/>
      <c r="AS100" s="106"/>
      <c r="AT100" s="106"/>
      <c r="AU100" s="106"/>
      <c r="AV100" s="106"/>
      <c r="AW100" s="106"/>
    </row>
    <row r="101" customFormat="false" ht="12.75" hidden="false" customHeight="false" outlineLevel="0" collapsed="false">
      <c r="B101" s="36"/>
      <c r="D101" s="160"/>
      <c r="E101" s="160"/>
      <c r="F101" s="160"/>
      <c r="G101" s="160"/>
      <c r="H101" s="160"/>
      <c r="I101" s="160"/>
      <c r="J101" s="160"/>
      <c r="K101" s="160"/>
      <c r="L101" s="160"/>
      <c r="M101" s="169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R101" s="106"/>
      <c r="AS101" s="106"/>
      <c r="AT101" s="106"/>
      <c r="AU101" s="106"/>
      <c r="AV101" s="106"/>
      <c r="AW101" s="106"/>
    </row>
    <row r="102" customFormat="false" ht="12.75" hidden="false" customHeight="false" outlineLevel="0" collapsed="false">
      <c r="B102" s="36"/>
      <c r="D102" s="160"/>
      <c r="E102" s="160"/>
      <c r="F102" s="160"/>
      <c r="G102" s="160"/>
      <c r="H102" s="160"/>
      <c r="I102" s="160"/>
      <c r="J102" s="160"/>
      <c r="K102" s="160"/>
      <c r="L102" s="160"/>
      <c r="M102" s="169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R102" s="106"/>
      <c r="AS102" s="106"/>
      <c r="AT102" s="106"/>
      <c r="AU102" s="106"/>
      <c r="AV102" s="106"/>
      <c r="AW102" s="106"/>
    </row>
    <row r="103" customFormat="false" ht="12.75" hidden="false" customHeight="false" outlineLevel="0" collapsed="false">
      <c r="B103" s="36"/>
      <c r="D103" s="160"/>
      <c r="E103" s="160"/>
      <c r="F103" s="160"/>
      <c r="G103" s="160"/>
      <c r="H103" s="160"/>
      <c r="I103" s="160"/>
      <c r="J103" s="160"/>
      <c r="K103" s="160"/>
      <c r="L103" s="160"/>
      <c r="M103" s="169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R103" s="106"/>
      <c r="AS103" s="106"/>
      <c r="AT103" s="106"/>
      <c r="AU103" s="106"/>
      <c r="AV103" s="106"/>
      <c r="AW103" s="106"/>
    </row>
    <row r="104" customFormat="false" ht="12.75" hidden="false" customHeight="false" outlineLevel="0" collapsed="false">
      <c r="B104" s="36"/>
      <c r="D104" s="160"/>
      <c r="E104" s="160"/>
      <c r="F104" s="160"/>
      <c r="G104" s="160"/>
      <c r="H104" s="160"/>
      <c r="I104" s="160"/>
      <c r="J104" s="160"/>
      <c r="K104" s="160"/>
      <c r="L104" s="160"/>
      <c r="M104" s="169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R104" s="106"/>
      <c r="AS104" s="106"/>
      <c r="AT104" s="106"/>
      <c r="AU104" s="106"/>
      <c r="AV104" s="106"/>
      <c r="AW104" s="106"/>
    </row>
    <row r="105" customFormat="false" ht="12.75" hidden="false" customHeight="false" outlineLevel="0" collapsed="false">
      <c r="B105" s="36"/>
      <c r="D105" s="160"/>
      <c r="E105" s="160"/>
      <c r="F105" s="160"/>
      <c r="G105" s="160"/>
      <c r="H105" s="160"/>
      <c r="I105" s="160"/>
      <c r="J105" s="160"/>
      <c r="K105" s="160"/>
      <c r="L105" s="160"/>
      <c r="M105" s="169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R105" s="106"/>
      <c r="AS105" s="106"/>
      <c r="AT105" s="106"/>
      <c r="AU105" s="106"/>
      <c r="AV105" s="106"/>
      <c r="AW105" s="106"/>
    </row>
    <row r="106" customFormat="false" ht="12.75" hidden="false" customHeight="false" outlineLevel="0" collapsed="false">
      <c r="B106" s="36"/>
      <c r="D106" s="160"/>
      <c r="E106" s="160"/>
      <c r="F106" s="160"/>
      <c r="G106" s="160"/>
      <c r="H106" s="160"/>
      <c r="I106" s="160"/>
      <c r="J106" s="160"/>
      <c r="K106" s="160"/>
      <c r="L106" s="160"/>
      <c r="M106" s="169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R106" s="106"/>
      <c r="AS106" s="106"/>
      <c r="AT106" s="106"/>
      <c r="AU106" s="106"/>
      <c r="AV106" s="106"/>
      <c r="AW106" s="106"/>
    </row>
    <row r="107" customFormat="false" ht="12.75" hidden="false" customHeight="false" outlineLevel="0" collapsed="false">
      <c r="B107" s="36"/>
      <c r="D107" s="160"/>
      <c r="E107" s="160"/>
      <c r="F107" s="160"/>
      <c r="G107" s="160"/>
      <c r="H107" s="160"/>
      <c r="I107" s="160"/>
      <c r="J107" s="160"/>
      <c r="K107" s="160"/>
      <c r="L107" s="160"/>
      <c r="M107" s="169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R107" s="106"/>
      <c r="AS107" s="106"/>
      <c r="AT107" s="106"/>
      <c r="AU107" s="106"/>
      <c r="AV107" s="106"/>
      <c r="AW107" s="106"/>
    </row>
    <row r="108" customFormat="false" ht="12.75" hidden="false" customHeight="false" outlineLevel="0" collapsed="false">
      <c r="B108" s="36"/>
      <c r="D108" s="160"/>
      <c r="E108" s="160"/>
      <c r="F108" s="160"/>
      <c r="G108" s="160"/>
      <c r="H108" s="160"/>
      <c r="I108" s="160"/>
      <c r="J108" s="160"/>
      <c r="K108" s="160"/>
      <c r="L108" s="160"/>
      <c r="M108" s="169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R108" s="106"/>
      <c r="AS108" s="106"/>
      <c r="AT108" s="106"/>
      <c r="AU108" s="106"/>
      <c r="AV108" s="106"/>
      <c r="AW108" s="106"/>
    </row>
    <row r="109" customFormat="false" ht="12.75" hidden="false" customHeight="false" outlineLevel="0" collapsed="false">
      <c r="B109" s="36"/>
      <c r="D109" s="160"/>
      <c r="E109" s="160"/>
      <c r="F109" s="160"/>
      <c r="G109" s="160"/>
      <c r="H109" s="160"/>
      <c r="I109" s="160"/>
      <c r="J109" s="160"/>
      <c r="K109" s="160"/>
      <c r="L109" s="160"/>
      <c r="M109" s="169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R109" s="106"/>
      <c r="AS109" s="106"/>
      <c r="AT109" s="106"/>
      <c r="AU109" s="106"/>
      <c r="AV109" s="106"/>
      <c r="AW109" s="106"/>
    </row>
    <row r="110" customFormat="false" ht="12.75" hidden="false" customHeight="false" outlineLevel="0" collapsed="false">
      <c r="B110" s="36"/>
      <c r="D110" s="160"/>
      <c r="E110" s="160"/>
      <c r="F110" s="160"/>
      <c r="G110" s="160"/>
      <c r="H110" s="160"/>
      <c r="I110" s="160"/>
      <c r="J110" s="160"/>
      <c r="K110" s="160"/>
      <c r="L110" s="160"/>
      <c r="M110" s="169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R110" s="106"/>
      <c r="AS110" s="106"/>
      <c r="AT110" s="106"/>
      <c r="AU110" s="106"/>
      <c r="AV110" s="106"/>
      <c r="AW110" s="106"/>
    </row>
    <row r="111" customFormat="false" ht="12.75" hidden="false" customHeight="false" outlineLevel="0" collapsed="false">
      <c r="B111" s="36"/>
      <c r="D111" s="160"/>
      <c r="E111" s="160"/>
      <c r="F111" s="160"/>
      <c r="G111" s="160"/>
      <c r="H111" s="160"/>
      <c r="I111" s="160"/>
      <c r="J111" s="160"/>
      <c r="K111" s="160"/>
      <c r="L111" s="160"/>
      <c r="M111" s="169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R111" s="106"/>
      <c r="AS111" s="106"/>
      <c r="AT111" s="106"/>
      <c r="AU111" s="106"/>
      <c r="AV111" s="106"/>
      <c r="AW111" s="106"/>
    </row>
    <row r="112" customFormat="false" ht="12.75" hidden="false" customHeight="false" outlineLevel="0" collapsed="false">
      <c r="B112" s="36"/>
      <c r="D112" s="160"/>
      <c r="E112" s="160"/>
      <c r="F112" s="160"/>
      <c r="G112" s="160"/>
      <c r="H112" s="160"/>
      <c r="I112" s="160"/>
      <c r="J112" s="160"/>
      <c r="K112" s="160"/>
      <c r="L112" s="160"/>
      <c r="M112" s="169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R112" s="106"/>
      <c r="AS112" s="106"/>
      <c r="AT112" s="106"/>
      <c r="AU112" s="106"/>
      <c r="AV112" s="106"/>
      <c r="AW112" s="106"/>
    </row>
    <row r="113" customFormat="false" ht="12.75" hidden="false" customHeight="false" outlineLevel="0" collapsed="false">
      <c r="B113" s="36"/>
      <c r="D113" s="160"/>
      <c r="E113" s="160"/>
      <c r="F113" s="160"/>
      <c r="G113" s="160"/>
      <c r="H113" s="160"/>
      <c r="I113" s="160"/>
      <c r="J113" s="160"/>
      <c r="K113" s="160"/>
      <c r="L113" s="160"/>
      <c r="M113" s="169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R113" s="106"/>
      <c r="AS113" s="106"/>
      <c r="AT113" s="106"/>
      <c r="AU113" s="106"/>
      <c r="AV113" s="106"/>
      <c r="AW113" s="106"/>
    </row>
    <row r="114" customFormat="false" ht="12.75" hidden="false" customHeight="false" outlineLevel="0" collapsed="false">
      <c r="B114" s="36"/>
      <c r="D114" s="160"/>
      <c r="E114" s="160"/>
      <c r="F114" s="160"/>
      <c r="G114" s="160"/>
      <c r="H114" s="160"/>
      <c r="I114" s="160"/>
      <c r="J114" s="160"/>
      <c r="K114" s="160"/>
      <c r="L114" s="160"/>
      <c r="M114" s="169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R114" s="106"/>
      <c r="AS114" s="106"/>
      <c r="AT114" s="106"/>
      <c r="AU114" s="106"/>
      <c r="AV114" s="106"/>
      <c r="AW114" s="106"/>
    </row>
    <row r="115" customFormat="false" ht="12.75" hidden="false" customHeight="false" outlineLevel="0" collapsed="false">
      <c r="B115" s="36"/>
      <c r="D115" s="160"/>
      <c r="E115" s="160"/>
      <c r="F115" s="160"/>
      <c r="G115" s="160"/>
      <c r="H115" s="160"/>
      <c r="I115" s="160"/>
      <c r="J115" s="160"/>
      <c r="K115" s="160"/>
      <c r="L115" s="160"/>
      <c r="M115" s="169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R115" s="106"/>
      <c r="AS115" s="106"/>
      <c r="AT115" s="106"/>
      <c r="AU115" s="106"/>
      <c r="AV115" s="106"/>
      <c r="AW115" s="106"/>
    </row>
    <row r="116" customFormat="false" ht="12.75" hidden="false" customHeight="false" outlineLevel="0" collapsed="false">
      <c r="B116" s="36"/>
      <c r="D116" s="160"/>
      <c r="E116" s="160"/>
      <c r="F116" s="160"/>
      <c r="G116" s="160"/>
      <c r="H116" s="160"/>
      <c r="I116" s="160"/>
      <c r="J116" s="160"/>
      <c r="K116" s="160"/>
      <c r="L116" s="160"/>
      <c r="M116" s="169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R116" s="106"/>
      <c r="AS116" s="106"/>
      <c r="AT116" s="106"/>
      <c r="AU116" s="106"/>
      <c r="AV116" s="106"/>
      <c r="AW116" s="106"/>
    </row>
    <row r="117" customFormat="false" ht="12.75" hidden="false" customHeight="false" outlineLevel="0" collapsed="false">
      <c r="B117" s="36"/>
      <c r="D117" s="160"/>
      <c r="E117" s="160"/>
      <c r="F117" s="160"/>
      <c r="G117" s="160"/>
      <c r="H117" s="160"/>
      <c r="I117" s="160"/>
      <c r="J117" s="160"/>
      <c r="K117" s="160"/>
      <c r="L117" s="160"/>
      <c r="M117" s="169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R117" s="106"/>
      <c r="AS117" s="106"/>
      <c r="AT117" s="106"/>
      <c r="AU117" s="106"/>
      <c r="AV117" s="106"/>
      <c r="AW117" s="106"/>
    </row>
    <row r="118" customFormat="false" ht="12.75" hidden="false" customHeight="false" outlineLevel="0" collapsed="false">
      <c r="B118" s="36"/>
      <c r="D118" s="160"/>
      <c r="E118" s="160"/>
      <c r="F118" s="160"/>
      <c r="G118" s="160"/>
      <c r="H118" s="160"/>
      <c r="I118" s="160"/>
      <c r="J118" s="160"/>
      <c r="K118" s="160"/>
      <c r="L118" s="160"/>
      <c r="M118" s="169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R118" s="106"/>
      <c r="AS118" s="106"/>
      <c r="AT118" s="106"/>
      <c r="AU118" s="106"/>
      <c r="AV118" s="106"/>
      <c r="AW118" s="106"/>
    </row>
    <row r="119" customFormat="false" ht="12.75" hidden="false" customHeight="false" outlineLevel="0" collapsed="false">
      <c r="B119" s="36"/>
      <c r="D119" s="160"/>
      <c r="E119" s="160"/>
      <c r="F119" s="160"/>
      <c r="G119" s="160"/>
      <c r="H119" s="160"/>
      <c r="I119" s="160"/>
      <c r="J119" s="160"/>
      <c r="K119" s="160"/>
      <c r="L119" s="160"/>
      <c r="M119" s="169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R119" s="106"/>
      <c r="AS119" s="106"/>
      <c r="AT119" s="106"/>
      <c r="AU119" s="106"/>
      <c r="AV119" s="106"/>
      <c r="AW119" s="106"/>
    </row>
    <row r="120" customFormat="false" ht="12.75" hidden="false" customHeight="false" outlineLevel="0" collapsed="false">
      <c r="B120" s="36"/>
      <c r="D120" s="160"/>
      <c r="E120" s="160"/>
      <c r="F120" s="160"/>
      <c r="G120" s="160"/>
      <c r="H120" s="160"/>
      <c r="I120" s="160"/>
      <c r="J120" s="160"/>
      <c r="K120" s="160"/>
      <c r="L120" s="160"/>
      <c r="M120" s="169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R120" s="106"/>
      <c r="AS120" s="106"/>
      <c r="AT120" s="106"/>
      <c r="AU120" s="106"/>
      <c r="AV120" s="106"/>
      <c r="AW120" s="106"/>
    </row>
    <row r="121" customFormat="false" ht="12.75" hidden="false" customHeight="false" outlineLevel="0" collapsed="false">
      <c r="B121" s="36"/>
      <c r="D121" s="160"/>
      <c r="E121" s="160"/>
      <c r="F121" s="160"/>
      <c r="G121" s="160"/>
      <c r="H121" s="160"/>
      <c r="I121" s="160"/>
      <c r="J121" s="160"/>
      <c r="K121" s="160"/>
      <c r="L121" s="160"/>
      <c r="M121" s="169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R121" s="106"/>
      <c r="AS121" s="106"/>
      <c r="AT121" s="106"/>
      <c r="AU121" s="106"/>
      <c r="AV121" s="106"/>
      <c r="AW121" s="106"/>
    </row>
    <row r="122" customFormat="false" ht="12.75" hidden="false" customHeight="false" outlineLevel="0" collapsed="false">
      <c r="B122" s="36"/>
      <c r="D122" s="160"/>
      <c r="E122" s="160"/>
      <c r="F122" s="160"/>
      <c r="G122" s="160"/>
      <c r="H122" s="160"/>
      <c r="I122" s="160"/>
      <c r="J122" s="160"/>
      <c r="K122" s="160"/>
      <c r="L122" s="160"/>
      <c r="M122" s="169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R122" s="106"/>
      <c r="AS122" s="106"/>
      <c r="AT122" s="106"/>
      <c r="AU122" s="106"/>
      <c r="AV122" s="106"/>
      <c r="AW122" s="106"/>
    </row>
    <row r="123" customFormat="false" ht="12.75" hidden="false" customHeight="false" outlineLevel="0" collapsed="false">
      <c r="B123" s="36"/>
      <c r="D123" s="160"/>
      <c r="E123" s="160"/>
      <c r="F123" s="160"/>
      <c r="G123" s="160"/>
      <c r="H123" s="160"/>
      <c r="I123" s="160"/>
      <c r="J123" s="160"/>
      <c r="K123" s="160"/>
      <c r="L123" s="160"/>
      <c r="M123" s="169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R123" s="106"/>
      <c r="AS123" s="106"/>
      <c r="AT123" s="106"/>
      <c r="AU123" s="106"/>
      <c r="AV123" s="106"/>
      <c r="AW123" s="106"/>
    </row>
    <row r="124" customFormat="false" ht="12.75" hidden="false" customHeight="false" outlineLevel="0" collapsed="false">
      <c r="B124" s="36"/>
      <c r="D124" s="160"/>
      <c r="E124" s="160"/>
      <c r="F124" s="160"/>
      <c r="G124" s="160"/>
      <c r="H124" s="160"/>
      <c r="I124" s="160"/>
      <c r="J124" s="160"/>
      <c r="K124" s="160"/>
      <c r="L124" s="160"/>
      <c r="M124" s="169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R124" s="106"/>
      <c r="AS124" s="106"/>
      <c r="AT124" s="106"/>
      <c r="AU124" s="106"/>
      <c r="AV124" s="106"/>
      <c r="AW124" s="106"/>
    </row>
    <row r="125" customFormat="false" ht="12.75" hidden="false" customHeight="false" outlineLevel="0" collapsed="false">
      <c r="B125" s="36"/>
      <c r="D125" s="160"/>
      <c r="E125" s="160"/>
      <c r="F125" s="160"/>
      <c r="G125" s="160"/>
      <c r="H125" s="160"/>
      <c r="I125" s="160"/>
      <c r="J125" s="160"/>
      <c r="K125" s="160"/>
      <c r="L125" s="160"/>
      <c r="M125" s="169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R125" s="106"/>
      <c r="AS125" s="106"/>
      <c r="AT125" s="106"/>
      <c r="AU125" s="106"/>
      <c r="AV125" s="106"/>
      <c r="AW125" s="106"/>
    </row>
    <row r="126" customFormat="false" ht="12.75" hidden="false" customHeight="false" outlineLevel="0" collapsed="false">
      <c r="B126" s="36"/>
      <c r="D126" s="160"/>
      <c r="E126" s="160"/>
      <c r="F126" s="160"/>
      <c r="G126" s="160"/>
      <c r="H126" s="160"/>
      <c r="I126" s="160"/>
      <c r="J126" s="160"/>
      <c r="K126" s="160"/>
      <c r="L126" s="160"/>
      <c r="M126" s="169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R126" s="106"/>
      <c r="AS126" s="106"/>
      <c r="AT126" s="106"/>
      <c r="AU126" s="106"/>
      <c r="AV126" s="106"/>
      <c r="AW126" s="106"/>
    </row>
    <row r="127" customFormat="false" ht="12.75" hidden="false" customHeight="false" outlineLevel="0" collapsed="false">
      <c r="B127" s="36"/>
      <c r="D127" s="160"/>
      <c r="E127" s="160"/>
      <c r="F127" s="160"/>
      <c r="G127" s="160"/>
      <c r="H127" s="160"/>
      <c r="I127" s="160"/>
      <c r="J127" s="160"/>
      <c r="K127" s="160"/>
      <c r="L127" s="160"/>
      <c r="M127" s="169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R127" s="106"/>
      <c r="AS127" s="106"/>
      <c r="AT127" s="106"/>
      <c r="AU127" s="106"/>
      <c r="AV127" s="106"/>
      <c r="AW127" s="106"/>
    </row>
    <row r="128" customFormat="false" ht="12.75" hidden="false" customHeight="false" outlineLevel="0" collapsed="false">
      <c r="B128" s="36"/>
      <c r="D128" s="160"/>
      <c r="E128" s="160"/>
      <c r="F128" s="160"/>
      <c r="G128" s="160"/>
      <c r="H128" s="160"/>
      <c r="I128" s="160"/>
      <c r="J128" s="160"/>
      <c r="K128" s="160"/>
      <c r="L128" s="160"/>
      <c r="M128" s="169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R128" s="106"/>
      <c r="AS128" s="106"/>
      <c r="AT128" s="106"/>
      <c r="AU128" s="106"/>
      <c r="AV128" s="106"/>
      <c r="AW128" s="106"/>
    </row>
    <row r="129" customFormat="false" ht="12.75" hidden="false" customHeight="false" outlineLevel="0" collapsed="false">
      <c r="B129" s="36"/>
      <c r="D129" s="160"/>
      <c r="E129" s="160"/>
      <c r="F129" s="160"/>
      <c r="G129" s="160"/>
      <c r="H129" s="160"/>
      <c r="I129" s="160"/>
      <c r="J129" s="160"/>
      <c r="K129" s="160"/>
      <c r="L129" s="160"/>
      <c r="M129" s="169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R129" s="106"/>
      <c r="AS129" s="106"/>
      <c r="AT129" s="106"/>
      <c r="AU129" s="106"/>
      <c r="AV129" s="106"/>
      <c r="AW129" s="106"/>
    </row>
    <row r="130" customFormat="false" ht="12.75" hidden="false" customHeight="false" outlineLevel="0" collapsed="false">
      <c r="B130" s="36"/>
      <c r="D130" s="160"/>
      <c r="E130" s="160"/>
      <c r="F130" s="160"/>
      <c r="G130" s="160"/>
      <c r="H130" s="160"/>
      <c r="I130" s="160"/>
      <c r="J130" s="160"/>
      <c r="K130" s="160"/>
      <c r="L130" s="160"/>
      <c r="M130" s="169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R130" s="106"/>
      <c r="AS130" s="106"/>
      <c r="AT130" s="106"/>
      <c r="AU130" s="106"/>
      <c r="AV130" s="106"/>
      <c r="AW130" s="106"/>
    </row>
    <row r="131" customFormat="false" ht="12.75" hidden="false" customHeight="false" outlineLevel="0" collapsed="false">
      <c r="B131" s="36"/>
      <c r="D131" s="160"/>
      <c r="E131" s="160"/>
      <c r="F131" s="160"/>
      <c r="G131" s="160"/>
      <c r="H131" s="160"/>
      <c r="I131" s="160"/>
      <c r="J131" s="160"/>
      <c r="K131" s="160"/>
      <c r="L131" s="160"/>
      <c r="M131" s="169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R131" s="106"/>
      <c r="AS131" s="106"/>
      <c r="AT131" s="106"/>
      <c r="AU131" s="106"/>
      <c r="AV131" s="106"/>
      <c r="AW131" s="106"/>
    </row>
    <row r="132" customFormat="false" ht="12.75" hidden="false" customHeight="false" outlineLevel="0" collapsed="false">
      <c r="B132" s="36"/>
      <c r="D132" s="160"/>
      <c r="E132" s="160"/>
      <c r="F132" s="160"/>
      <c r="G132" s="160"/>
      <c r="H132" s="160"/>
      <c r="I132" s="160"/>
      <c r="J132" s="160"/>
      <c r="K132" s="160"/>
      <c r="L132" s="160"/>
      <c r="M132" s="169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R132" s="106"/>
      <c r="AS132" s="106"/>
      <c r="AT132" s="106"/>
      <c r="AU132" s="106"/>
      <c r="AV132" s="106"/>
      <c r="AW132" s="106"/>
    </row>
    <row r="133" customFormat="false" ht="12.75" hidden="false" customHeight="false" outlineLevel="0" collapsed="false">
      <c r="B133" s="36"/>
      <c r="D133" s="160"/>
      <c r="E133" s="160"/>
      <c r="F133" s="160"/>
      <c r="G133" s="160"/>
      <c r="H133" s="160"/>
      <c r="I133" s="160"/>
      <c r="J133" s="160"/>
      <c r="K133" s="160"/>
      <c r="L133" s="160"/>
      <c r="M133" s="169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R133" s="106"/>
      <c r="AS133" s="106"/>
      <c r="AT133" s="106"/>
      <c r="AU133" s="106"/>
      <c r="AV133" s="106"/>
      <c r="AW133" s="106"/>
    </row>
    <row r="134" customFormat="false" ht="12.75" hidden="false" customHeight="false" outlineLevel="0" collapsed="false">
      <c r="B134" s="36"/>
      <c r="D134" s="160"/>
      <c r="E134" s="160"/>
      <c r="F134" s="160"/>
      <c r="G134" s="160"/>
      <c r="H134" s="160"/>
      <c r="I134" s="160"/>
      <c r="J134" s="160"/>
      <c r="K134" s="160"/>
      <c r="L134" s="160"/>
      <c r="M134" s="169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R134" s="106"/>
      <c r="AS134" s="106"/>
      <c r="AT134" s="106"/>
      <c r="AU134" s="106"/>
      <c r="AV134" s="106"/>
      <c r="AW134" s="106"/>
    </row>
    <row r="135" customFormat="false" ht="12.75" hidden="false" customHeight="false" outlineLevel="0" collapsed="false">
      <c r="B135" s="36"/>
      <c r="D135" s="160"/>
      <c r="E135" s="160"/>
      <c r="F135" s="160"/>
      <c r="G135" s="160"/>
      <c r="H135" s="160"/>
      <c r="I135" s="160"/>
      <c r="J135" s="160"/>
      <c r="K135" s="160"/>
      <c r="L135" s="160"/>
      <c r="M135" s="169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R135" s="106"/>
      <c r="AS135" s="106"/>
      <c r="AT135" s="106"/>
      <c r="AU135" s="106"/>
      <c r="AV135" s="106"/>
      <c r="AW135" s="106"/>
    </row>
    <row r="136" customFormat="false" ht="12.75" hidden="false" customHeight="false" outlineLevel="0" collapsed="false">
      <c r="B136" s="36"/>
      <c r="D136" s="160"/>
      <c r="E136" s="160"/>
      <c r="F136" s="160"/>
      <c r="G136" s="160"/>
      <c r="H136" s="160"/>
      <c r="I136" s="160"/>
      <c r="J136" s="160"/>
      <c r="K136" s="160"/>
      <c r="L136" s="160"/>
      <c r="M136" s="169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R136" s="106"/>
      <c r="AS136" s="106"/>
      <c r="AT136" s="106"/>
      <c r="AU136" s="106"/>
      <c r="AV136" s="106"/>
      <c r="AW136" s="106"/>
    </row>
    <row r="137" customFormat="false" ht="12.75" hidden="false" customHeight="false" outlineLevel="0" collapsed="false">
      <c r="B137" s="36"/>
      <c r="D137" s="160"/>
      <c r="E137" s="160"/>
      <c r="F137" s="160"/>
      <c r="G137" s="160"/>
      <c r="H137" s="160"/>
      <c r="I137" s="160"/>
      <c r="J137" s="160"/>
      <c r="K137" s="160"/>
      <c r="L137" s="160"/>
      <c r="M137" s="169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R137" s="106"/>
      <c r="AS137" s="106"/>
      <c r="AT137" s="106"/>
      <c r="AU137" s="106"/>
      <c r="AV137" s="106"/>
      <c r="AW137" s="106"/>
    </row>
    <row r="138" customFormat="false" ht="12.75" hidden="false" customHeight="false" outlineLevel="0" collapsed="false">
      <c r="B138" s="36"/>
      <c r="D138" s="160"/>
      <c r="E138" s="160"/>
      <c r="F138" s="160"/>
      <c r="G138" s="160"/>
      <c r="H138" s="160"/>
      <c r="I138" s="160"/>
      <c r="J138" s="160"/>
      <c r="K138" s="160"/>
      <c r="L138" s="160"/>
      <c r="M138" s="169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R138" s="106"/>
      <c r="AS138" s="106"/>
      <c r="AT138" s="106"/>
      <c r="AU138" s="106"/>
      <c r="AV138" s="106"/>
      <c r="AW138" s="106"/>
    </row>
    <row r="139" customFormat="false" ht="12.75" hidden="false" customHeight="false" outlineLevel="0" collapsed="false">
      <c r="B139" s="36"/>
      <c r="D139" s="160"/>
      <c r="E139" s="160"/>
      <c r="F139" s="160"/>
      <c r="G139" s="160"/>
      <c r="H139" s="160"/>
      <c r="I139" s="160"/>
      <c r="J139" s="160"/>
      <c r="K139" s="160"/>
      <c r="L139" s="160"/>
      <c r="M139" s="169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R139" s="106"/>
      <c r="AS139" s="106"/>
      <c r="AT139" s="106"/>
      <c r="AU139" s="106"/>
      <c r="AV139" s="106"/>
      <c r="AW139" s="106"/>
    </row>
    <row r="140" customFormat="false" ht="12.75" hidden="false" customHeight="false" outlineLevel="0" collapsed="false">
      <c r="B140" s="36"/>
      <c r="D140" s="160"/>
      <c r="E140" s="160"/>
      <c r="F140" s="160"/>
      <c r="G140" s="160"/>
      <c r="H140" s="160"/>
      <c r="I140" s="160"/>
      <c r="J140" s="160"/>
      <c r="K140" s="160"/>
      <c r="L140" s="160"/>
      <c r="M140" s="169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R140" s="106"/>
      <c r="AS140" s="106"/>
      <c r="AT140" s="106"/>
      <c r="AU140" s="106"/>
      <c r="AV140" s="106"/>
      <c r="AW140" s="106"/>
    </row>
    <row r="141" customFormat="false" ht="12.75" hidden="false" customHeight="false" outlineLevel="0" collapsed="false">
      <c r="B141" s="36"/>
      <c r="D141" s="160"/>
      <c r="E141" s="160"/>
      <c r="F141" s="160"/>
      <c r="G141" s="160"/>
      <c r="H141" s="160"/>
      <c r="I141" s="160"/>
      <c r="J141" s="160"/>
      <c r="K141" s="160"/>
      <c r="L141" s="160"/>
      <c r="M141" s="169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R141" s="106"/>
      <c r="AS141" s="106"/>
      <c r="AT141" s="106"/>
      <c r="AU141" s="106"/>
      <c r="AV141" s="106"/>
      <c r="AW141" s="106"/>
    </row>
    <row r="142" customFormat="false" ht="12.75" hidden="false" customHeight="false" outlineLevel="0" collapsed="false">
      <c r="B142" s="36"/>
      <c r="D142" s="160"/>
      <c r="E142" s="160"/>
      <c r="F142" s="160"/>
      <c r="G142" s="160"/>
      <c r="H142" s="160"/>
      <c r="I142" s="160"/>
      <c r="J142" s="160"/>
      <c r="K142" s="160"/>
      <c r="L142" s="160"/>
      <c r="M142" s="169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R142" s="106"/>
      <c r="AS142" s="106"/>
      <c r="AT142" s="106"/>
      <c r="AU142" s="106"/>
      <c r="AV142" s="106"/>
      <c r="AW142" s="106"/>
    </row>
    <row r="143" customFormat="false" ht="12.75" hidden="false" customHeight="false" outlineLevel="0" collapsed="false">
      <c r="B143" s="36"/>
      <c r="D143" s="160"/>
      <c r="E143" s="160"/>
      <c r="F143" s="160"/>
      <c r="G143" s="160"/>
      <c r="H143" s="160"/>
      <c r="I143" s="160"/>
      <c r="J143" s="160"/>
      <c r="K143" s="160"/>
      <c r="L143" s="160"/>
      <c r="M143" s="169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R143" s="106"/>
      <c r="AS143" s="106"/>
      <c r="AT143" s="106"/>
      <c r="AU143" s="106"/>
      <c r="AV143" s="106"/>
      <c r="AW143" s="106"/>
    </row>
    <row r="144" customFormat="false" ht="12.75" hidden="false" customHeight="false" outlineLevel="0" collapsed="false">
      <c r="B144" s="36"/>
      <c r="D144" s="160"/>
      <c r="E144" s="160"/>
      <c r="F144" s="160"/>
      <c r="G144" s="160"/>
      <c r="H144" s="160"/>
      <c r="I144" s="160"/>
      <c r="J144" s="160"/>
      <c r="K144" s="160"/>
      <c r="L144" s="160"/>
      <c r="M144" s="169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R144" s="106"/>
      <c r="AS144" s="106"/>
      <c r="AT144" s="106"/>
      <c r="AU144" s="106"/>
      <c r="AV144" s="106"/>
      <c r="AW144" s="106"/>
    </row>
    <row r="145" customFormat="false" ht="12.75" hidden="false" customHeight="false" outlineLevel="0" collapsed="false">
      <c r="B145" s="36"/>
      <c r="D145" s="160"/>
      <c r="E145" s="160"/>
      <c r="F145" s="160"/>
      <c r="G145" s="160"/>
      <c r="H145" s="160"/>
      <c r="I145" s="160"/>
      <c r="J145" s="160"/>
      <c r="K145" s="160"/>
      <c r="L145" s="160"/>
      <c r="M145" s="169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R145" s="106"/>
      <c r="AS145" s="106"/>
      <c r="AT145" s="106"/>
      <c r="AU145" s="106"/>
      <c r="AV145" s="106"/>
      <c r="AW145" s="106"/>
    </row>
    <row r="146" customFormat="false" ht="12.75" hidden="false" customHeight="false" outlineLevel="0" collapsed="false">
      <c r="B146" s="36"/>
      <c r="D146" s="160"/>
      <c r="E146" s="160"/>
      <c r="F146" s="160"/>
      <c r="G146" s="160"/>
      <c r="H146" s="160"/>
      <c r="I146" s="160"/>
      <c r="J146" s="160"/>
      <c r="K146" s="160"/>
      <c r="L146" s="160"/>
      <c r="M146" s="169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R146" s="106"/>
      <c r="AS146" s="106"/>
      <c r="AT146" s="106"/>
      <c r="AU146" s="106"/>
      <c r="AV146" s="106"/>
      <c r="AW146" s="106"/>
    </row>
    <row r="147" customFormat="false" ht="12.75" hidden="false" customHeight="false" outlineLevel="0" collapsed="false">
      <c r="B147" s="36"/>
      <c r="D147" s="160"/>
      <c r="E147" s="160"/>
      <c r="F147" s="160"/>
      <c r="G147" s="160"/>
      <c r="H147" s="160"/>
      <c r="I147" s="160"/>
      <c r="J147" s="160"/>
      <c r="K147" s="160"/>
      <c r="L147" s="160"/>
      <c r="M147" s="169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R147" s="106"/>
      <c r="AS147" s="106"/>
      <c r="AT147" s="106"/>
      <c r="AU147" s="106"/>
      <c r="AV147" s="106"/>
      <c r="AW147" s="106"/>
    </row>
    <row r="148" customFormat="false" ht="12.75" hidden="false" customHeight="false" outlineLevel="0" collapsed="false">
      <c r="B148" s="36"/>
      <c r="D148" s="160"/>
      <c r="E148" s="160"/>
      <c r="F148" s="160"/>
      <c r="G148" s="160"/>
      <c r="H148" s="160"/>
      <c r="I148" s="160"/>
      <c r="J148" s="160"/>
      <c r="K148" s="160"/>
      <c r="L148" s="160"/>
      <c r="M148" s="169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R148" s="106"/>
      <c r="AS148" s="106"/>
      <c r="AT148" s="106"/>
      <c r="AU148" s="106"/>
      <c r="AV148" s="106"/>
      <c r="AW148" s="106"/>
    </row>
    <row r="149" customFormat="false" ht="12.75" hidden="false" customHeight="false" outlineLevel="0" collapsed="false">
      <c r="B149" s="36"/>
      <c r="D149" s="160"/>
      <c r="E149" s="160"/>
      <c r="F149" s="160"/>
      <c r="G149" s="160"/>
      <c r="H149" s="160"/>
      <c r="I149" s="160"/>
      <c r="J149" s="160"/>
      <c r="K149" s="160"/>
      <c r="L149" s="160"/>
      <c r="M149" s="169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R149" s="106"/>
      <c r="AS149" s="106"/>
      <c r="AT149" s="106"/>
      <c r="AU149" s="106"/>
      <c r="AV149" s="106"/>
      <c r="AW149" s="106"/>
    </row>
    <row r="150" customFormat="false" ht="12.75" hidden="false" customHeight="false" outlineLevel="0" collapsed="false">
      <c r="B150" s="36"/>
      <c r="D150" s="160"/>
      <c r="E150" s="160"/>
      <c r="F150" s="160"/>
      <c r="G150" s="160"/>
      <c r="H150" s="160"/>
      <c r="I150" s="160"/>
      <c r="J150" s="160"/>
      <c r="K150" s="160"/>
      <c r="L150" s="160"/>
      <c r="M150" s="169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R150" s="106"/>
      <c r="AS150" s="106"/>
      <c r="AT150" s="106"/>
      <c r="AU150" s="106"/>
      <c r="AV150" s="106"/>
      <c r="AW150" s="106"/>
    </row>
    <row r="151" customFormat="false" ht="12.75" hidden="false" customHeight="false" outlineLevel="0" collapsed="false">
      <c r="B151" s="36"/>
      <c r="D151" s="160"/>
      <c r="E151" s="160"/>
      <c r="F151" s="160"/>
      <c r="G151" s="160"/>
      <c r="H151" s="160"/>
      <c r="I151" s="160"/>
      <c r="J151" s="160"/>
      <c r="K151" s="160"/>
      <c r="L151" s="160"/>
      <c r="M151" s="169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R151" s="106"/>
      <c r="AS151" s="106"/>
      <c r="AT151" s="106"/>
      <c r="AU151" s="106"/>
      <c r="AV151" s="106"/>
      <c r="AW151" s="106"/>
    </row>
    <row r="152" customFormat="false" ht="12.75" hidden="false" customHeight="false" outlineLevel="0" collapsed="false">
      <c r="B152" s="36"/>
      <c r="D152" s="160"/>
      <c r="E152" s="160"/>
      <c r="F152" s="160"/>
      <c r="G152" s="160"/>
      <c r="H152" s="160"/>
      <c r="I152" s="160"/>
      <c r="J152" s="160"/>
      <c r="K152" s="160"/>
      <c r="L152" s="160"/>
      <c r="M152" s="169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R152" s="106"/>
      <c r="AS152" s="106"/>
      <c r="AT152" s="106"/>
      <c r="AU152" s="106"/>
      <c r="AV152" s="106"/>
      <c r="AW152" s="106"/>
    </row>
    <row r="153" customFormat="false" ht="12.75" hidden="false" customHeight="false" outlineLevel="0" collapsed="false">
      <c r="B153" s="36"/>
      <c r="D153" s="160"/>
      <c r="E153" s="160"/>
      <c r="F153" s="160"/>
      <c r="G153" s="160"/>
      <c r="H153" s="160"/>
      <c r="I153" s="160"/>
      <c r="J153" s="160"/>
      <c r="K153" s="160"/>
      <c r="L153" s="160"/>
      <c r="M153" s="169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R153" s="106"/>
      <c r="AS153" s="106"/>
      <c r="AT153" s="106"/>
      <c r="AU153" s="106"/>
      <c r="AV153" s="106"/>
      <c r="AW153" s="106"/>
    </row>
    <row r="154" customFormat="false" ht="12.75" hidden="false" customHeight="false" outlineLevel="0" collapsed="false">
      <c r="B154" s="36"/>
      <c r="D154" s="160"/>
      <c r="E154" s="160"/>
      <c r="F154" s="160"/>
      <c r="G154" s="160"/>
      <c r="H154" s="160"/>
      <c r="I154" s="160"/>
      <c r="J154" s="160"/>
      <c r="K154" s="160"/>
      <c r="L154" s="160"/>
      <c r="M154" s="169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R154" s="106"/>
      <c r="AS154" s="106"/>
      <c r="AT154" s="106"/>
      <c r="AU154" s="106"/>
      <c r="AV154" s="106"/>
      <c r="AW154" s="106"/>
    </row>
    <row r="155" customFormat="false" ht="12.75" hidden="false" customHeight="false" outlineLevel="0" collapsed="false">
      <c r="B155" s="36"/>
      <c r="D155" s="160"/>
      <c r="E155" s="160"/>
      <c r="F155" s="160"/>
      <c r="G155" s="160"/>
      <c r="H155" s="160"/>
      <c r="I155" s="160"/>
      <c r="J155" s="160"/>
      <c r="K155" s="160"/>
      <c r="L155" s="160"/>
      <c r="M155" s="169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R155" s="106"/>
      <c r="AS155" s="106"/>
      <c r="AT155" s="106"/>
      <c r="AU155" s="106"/>
      <c r="AV155" s="106"/>
      <c r="AW155" s="106"/>
    </row>
    <row r="156" customFormat="false" ht="12.75" hidden="false" customHeight="false" outlineLevel="0" collapsed="false">
      <c r="B156" s="36"/>
      <c r="D156" s="160"/>
      <c r="E156" s="160"/>
      <c r="F156" s="160"/>
      <c r="G156" s="160"/>
      <c r="H156" s="160"/>
      <c r="I156" s="160"/>
      <c r="J156" s="160"/>
      <c r="K156" s="160"/>
      <c r="L156" s="160"/>
      <c r="M156" s="169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R156" s="106"/>
      <c r="AS156" s="106"/>
      <c r="AT156" s="106"/>
      <c r="AU156" s="106"/>
      <c r="AV156" s="106"/>
      <c r="AW156" s="106"/>
    </row>
    <row r="157" customFormat="false" ht="12.75" hidden="false" customHeight="false" outlineLevel="0" collapsed="false">
      <c r="B157" s="36"/>
      <c r="D157" s="160"/>
      <c r="E157" s="160"/>
      <c r="F157" s="160"/>
      <c r="G157" s="160"/>
      <c r="H157" s="160"/>
      <c r="I157" s="160"/>
      <c r="J157" s="160"/>
      <c r="K157" s="160"/>
      <c r="L157" s="160"/>
      <c r="M157" s="169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R157" s="106"/>
      <c r="AS157" s="106"/>
      <c r="AT157" s="106"/>
      <c r="AU157" s="106"/>
      <c r="AV157" s="106"/>
      <c r="AW157" s="106"/>
    </row>
    <row r="158" customFormat="false" ht="12.75" hidden="false" customHeight="false" outlineLevel="0" collapsed="false">
      <c r="B158" s="36"/>
      <c r="D158" s="160"/>
      <c r="E158" s="160"/>
      <c r="F158" s="160"/>
      <c r="G158" s="160"/>
      <c r="H158" s="160"/>
      <c r="I158" s="160"/>
      <c r="J158" s="160"/>
      <c r="K158" s="160"/>
      <c r="L158" s="160"/>
      <c r="M158" s="169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R158" s="106"/>
      <c r="AS158" s="106"/>
      <c r="AT158" s="106"/>
      <c r="AU158" s="106"/>
      <c r="AV158" s="106"/>
      <c r="AW158" s="106"/>
    </row>
    <row r="159" customFormat="false" ht="12.75" hidden="false" customHeight="false" outlineLevel="0" collapsed="false">
      <c r="B159" s="36"/>
      <c r="D159" s="160"/>
      <c r="E159" s="160"/>
      <c r="F159" s="160"/>
      <c r="G159" s="160"/>
      <c r="H159" s="160"/>
      <c r="I159" s="160"/>
      <c r="J159" s="160"/>
      <c r="K159" s="160"/>
      <c r="L159" s="160"/>
      <c r="M159" s="169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60"/>
      <c r="AM159" s="160"/>
      <c r="AR159" s="106"/>
      <c r="AS159" s="106"/>
      <c r="AT159" s="106"/>
      <c r="AU159" s="106"/>
      <c r="AV159" s="106"/>
      <c r="AW159" s="106"/>
    </row>
    <row r="160" customFormat="false" ht="12.75" hidden="false" customHeight="false" outlineLevel="0" collapsed="false">
      <c r="B160" s="36"/>
      <c r="D160" s="160"/>
      <c r="E160" s="160"/>
      <c r="F160" s="160"/>
      <c r="G160" s="160"/>
      <c r="H160" s="160"/>
      <c r="I160" s="160"/>
      <c r="J160" s="160"/>
      <c r="K160" s="160"/>
      <c r="L160" s="160"/>
      <c r="M160" s="169"/>
      <c r="N160" s="160"/>
      <c r="O160" s="160"/>
      <c r="P160" s="160"/>
      <c r="Q160" s="160"/>
      <c r="R160" s="160"/>
      <c r="S160" s="160"/>
      <c r="T160" s="160"/>
      <c r="U160" s="160"/>
      <c r="V160" s="160"/>
      <c r="AR160" s="106"/>
      <c r="AS160" s="106"/>
      <c r="AT160" s="106"/>
      <c r="AU160" s="106"/>
      <c r="AV160" s="106"/>
      <c r="AW160" s="106"/>
    </row>
    <row r="161" customFormat="false" ht="12.75" hidden="false" customHeight="false" outlineLevel="0" collapsed="false">
      <c r="B161" s="36"/>
      <c r="D161" s="160"/>
      <c r="E161" s="160"/>
      <c r="F161" s="160"/>
      <c r="G161" s="160"/>
      <c r="H161" s="160"/>
      <c r="I161" s="160"/>
      <c r="J161" s="160"/>
      <c r="K161" s="160"/>
      <c r="L161" s="160"/>
      <c r="M161" s="169"/>
      <c r="N161" s="160"/>
      <c r="O161" s="160"/>
      <c r="P161" s="160"/>
      <c r="Q161" s="160"/>
      <c r="R161" s="160"/>
      <c r="S161" s="160"/>
      <c r="T161" s="160"/>
      <c r="U161" s="160"/>
      <c r="V161" s="160"/>
      <c r="AR161" s="106"/>
      <c r="AS161" s="106"/>
      <c r="AT161" s="106"/>
      <c r="AU161" s="106"/>
      <c r="AV161" s="106"/>
      <c r="AW161" s="106"/>
    </row>
    <row r="162" customFormat="false" ht="12.75" hidden="false" customHeight="false" outlineLevel="0" collapsed="false">
      <c r="B162" s="36"/>
      <c r="D162" s="160"/>
      <c r="E162" s="160"/>
      <c r="F162" s="160"/>
      <c r="G162" s="160"/>
      <c r="H162" s="160"/>
      <c r="I162" s="160"/>
      <c r="J162" s="160"/>
      <c r="K162" s="160"/>
      <c r="L162" s="160"/>
      <c r="M162" s="169"/>
      <c r="N162" s="160"/>
      <c r="O162" s="160"/>
      <c r="P162" s="160"/>
      <c r="Q162" s="160"/>
      <c r="R162" s="160"/>
      <c r="S162" s="160"/>
      <c r="T162" s="160"/>
      <c r="U162" s="160"/>
      <c r="V162" s="160"/>
      <c r="AR162" s="106"/>
      <c r="AS162" s="106"/>
      <c r="AT162" s="106"/>
      <c r="AU162" s="106"/>
      <c r="AV162" s="106"/>
      <c r="AW162" s="106"/>
    </row>
    <row r="163" customFormat="false" ht="12.75" hidden="false" customHeight="false" outlineLevel="0" collapsed="false">
      <c r="B163" s="36"/>
      <c r="D163" s="160"/>
      <c r="E163" s="160"/>
      <c r="F163" s="160"/>
      <c r="G163" s="160"/>
      <c r="H163" s="160"/>
      <c r="I163" s="160"/>
      <c r="J163" s="160"/>
      <c r="K163" s="160"/>
      <c r="L163" s="160"/>
      <c r="M163" s="169"/>
      <c r="N163" s="160"/>
      <c r="O163" s="160"/>
      <c r="P163" s="160"/>
      <c r="Q163" s="160"/>
      <c r="R163" s="160"/>
      <c r="S163" s="160"/>
      <c r="T163" s="160"/>
      <c r="U163" s="160"/>
      <c r="V163" s="160"/>
      <c r="AR163" s="106"/>
      <c r="AS163" s="106"/>
      <c r="AT163" s="106"/>
      <c r="AU163" s="106"/>
      <c r="AV163" s="106"/>
      <c r="AW163" s="106"/>
    </row>
    <row r="164" customFormat="false" ht="12.75" hidden="false" customHeight="false" outlineLevel="0" collapsed="false">
      <c r="B164" s="36"/>
      <c r="D164" s="160"/>
      <c r="E164" s="160"/>
      <c r="F164" s="160"/>
      <c r="G164" s="160"/>
      <c r="H164" s="160"/>
      <c r="I164" s="160"/>
      <c r="J164" s="160"/>
      <c r="K164" s="160"/>
      <c r="L164" s="160"/>
      <c r="M164" s="169"/>
      <c r="N164" s="160"/>
      <c r="O164" s="160"/>
      <c r="P164" s="160"/>
      <c r="Q164" s="160"/>
      <c r="R164" s="160"/>
      <c r="S164" s="160"/>
      <c r="T164" s="160"/>
      <c r="U164" s="160"/>
      <c r="V164" s="160"/>
      <c r="AR164" s="106"/>
      <c r="AS164" s="106"/>
      <c r="AT164" s="106"/>
      <c r="AU164" s="106"/>
      <c r="AV164" s="106"/>
      <c r="AW164" s="106"/>
    </row>
    <row r="165" customFormat="false" ht="12.75" hidden="false" customHeight="false" outlineLevel="0" collapsed="false">
      <c r="B165" s="36"/>
      <c r="D165" s="160"/>
      <c r="E165" s="160"/>
      <c r="F165" s="160"/>
      <c r="G165" s="160"/>
      <c r="H165" s="160"/>
      <c r="I165" s="160"/>
      <c r="J165" s="160"/>
      <c r="K165" s="160"/>
      <c r="L165" s="160"/>
      <c r="M165" s="169"/>
      <c r="N165" s="160"/>
      <c r="O165" s="160"/>
      <c r="P165" s="160"/>
      <c r="Q165" s="160"/>
      <c r="R165" s="160"/>
      <c r="S165" s="160"/>
      <c r="T165" s="160"/>
      <c r="U165" s="160"/>
      <c r="V165" s="160"/>
      <c r="AR165" s="106"/>
      <c r="AS165" s="106"/>
      <c r="AT165" s="106"/>
      <c r="AU165" s="106"/>
      <c r="AV165" s="106"/>
      <c r="AW165" s="106"/>
    </row>
    <row r="166" customFormat="false" ht="12.75" hidden="false" customHeight="false" outlineLevel="0" collapsed="false">
      <c r="B166" s="36"/>
      <c r="D166" s="160"/>
      <c r="E166" s="160"/>
      <c r="F166" s="160"/>
      <c r="G166" s="160"/>
      <c r="H166" s="160"/>
      <c r="I166" s="160"/>
      <c r="J166" s="160"/>
      <c r="K166" s="160"/>
      <c r="L166" s="160"/>
      <c r="M166" s="169"/>
      <c r="N166" s="160"/>
      <c r="O166" s="160"/>
      <c r="P166" s="160"/>
      <c r="Q166" s="160"/>
      <c r="R166" s="160"/>
      <c r="S166" s="160"/>
      <c r="T166" s="160"/>
      <c r="U166" s="160"/>
      <c r="V166" s="160"/>
      <c r="AR166" s="106"/>
      <c r="AS166" s="106"/>
      <c r="AT166" s="106"/>
      <c r="AU166" s="106"/>
      <c r="AV166" s="106"/>
      <c r="AW166" s="106"/>
    </row>
    <row r="167" customFormat="false" ht="12.75" hidden="false" customHeight="false" outlineLevel="0" collapsed="false">
      <c r="B167" s="36"/>
      <c r="D167" s="160"/>
      <c r="E167" s="160"/>
      <c r="F167" s="160"/>
      <c r="G167" s="160"/>
      <c r="H167" s="160"/>
      <c r="I167" s="160"/>
      <c r="J167" s="160"/>
      <c r="K167" s="160"/>
      <c r="L167" s="160"/>
      <c r="M167" s="169"/>
      <c r="N167" s="160"/>
      <c r="O167" s="160"/>
      <c r="P167" s="160"/>
      <c r="Q167" s="160"/>
      <c r="R167" s="160"/>
      <c r="S167" s="160"/>
      <c r="T167" s="160"/>
      <c r="U167" s="160"/>
      <c r="V167" s="160"/>
      <c r="AR167" s="106"/>
      <c r="AS167" s="106"/>
      <c r="AT167" s="106"/>
      <c r="AU167" s="106"/>
      <c r="AV167" s="106"/>
      <c r="AW167" s="106"/>
    </row>
    <row r="168" customFormat="false" ht="12.75" hidden="false" customHeight="false" outlineLevel="0" collapsed="false">
      <c r="B168" s="36"/>
      <c r="D168" s="160"/>
      <c r="E168" s="160"/>
      <c r="F168" s="160"/>
      <c r="G168" s="160"/>
      <c r="H168" s="160"/>
      <c r="I168" s="160"/>
      <c r="J168" s="160"/>
      <c r="K168" s="160"/>
      <c r="L168" s="160"/>
      <c r="M168" s="169"/>
      <c r="N168" s="160"/>
      <c r="O168" s="160"/>
      <c r="P168" s="160"/>
      <c r="Q168" s="160"/>
      <c r="R168" s="160"/>
      <c r="S168" s="160"/>
      <c r="T168" s="160"/>
      <c r="U168" s="160"/>
      <c r="V168" s="160"/>
      <c r="AR168" s="106"/>
      <c r="AS168" s="106"/>
      <c r="AT168" s="106"/>
      <c r="AU168" s="106"/>
      <c r="AV168" s="106"/>
      <c r="AW168" s="106"/>
    </row>
    <row r="169" customFormat="false" ht="12.75" hidden="false" customHeight="false" outlineLevel="0" collapsed="false">
      <c r="B169" s="36"/>
      <c r="D169" s="160"/>
      <c r="E169" s="160"/>
      <c r="F169" s="160"/>
      <c r="G169" s="160"/>
      <c r="H169" s="160"/>
      <c r="I169" s="160"/>
      <c r="J169" s="160"/>
      <c r="K169" s="160"/>
      <c r="L169" s="160"/>
      <c r="M169" s="169"/>
      <c r="N169" s="160"/>
      <c r="O169" s="160"/>
      <c r="P169" s="160"/>
      <c r="Q169" s="160"/>
      <c r="R169" s="160"/>
      <c r="S169" s="160"/>
      <c r="T169" s="160"/>
      <c r="U169" s="160"/>
      <c r="V169" s="160"/>
      <c r="AR169" s="106"/>
      <c r="AS169" s="106"/>
      <c r="AT169" s="106"/>
      <c r="AU169" s="106"/>
      <c r="AV169" s="106"/>
      <c r="AW169" s="106"/>
    </row>
    <row r="170" customFormat="false" ht="12.75" hidden="false" customHeight="false" outlineLevel="0" collapsed="false">
      <c r="B170" s="36"/>
      <c r="D170" s="160"/>
      <c r="E170" s="160"/>
      <c r="F170" s="160"/>
      <c r="G170" s="160"/>
      <c r="H170" s="160"/>
      <c r="I170" s="160"/>
      <c r="J170" s="160"/>
      <c r="K170" s="160"/>
      <c r="L170" s="160"/>
      <c r="M170" s="169"/>
      <c r="N170" s="160"/>
      <c r="O170" s="160"/>
      <c r="P170" s="160"/>
      <c r="Q170" s="160"/>
      <c r="R170" s="160"/>
      <c r="S170" s="160"/>
      <c r="T170" s="160"/>
      <c r="U170" s="160"/>
      <c r="V170" s="160"/>
      <c r="AR170" s="106"/>
      <c r="AS170" s="106"/>
      <c r="AT170" s="106"/>
      <c r="AU170" s="106"/>
      <c r="AV170" s="106"/>
      <c r="AW170" s="106"/>
    </row>
    <row r="171" customFormat="false" ht="12.75" hidden="false" customHeight="false" outlineLevel="0" collapsed="false">
      <c r="B171" s="36"/>
      <c r="D171" s="160"/>
      <c r="E171" s="160"/>
      <c r="F171" s="160"/>
      <c r="G171" s="160"/>
      <c r="H171" s="160"/>
      <c r="I171" s="160"/>
      <c r="J171" s="160"/>
      <c r="K171" s="160"/>
      <c r="L171" s="160"/>
      <c r="M171" s="169"/>
      <c r="N171" s="160"/>
      <c r="O171" s="160"/>
      <c r="P171" s="160"/>
      <c r="Q171" s="160"/>
      <c r="R171" s="160"/>
      <c r="S171" s="160"/>
      <c r="T171" s="160"/>
      <c r="U171" s="160"/>
      <c r="V171" s="160"/>
      <c r="AR171" s="106"/>
      <c r="AS171" s="106"/>
      <c r="AT171" s="106"/>
      <c r="AU171" s="106"/>
      <c r="AV171" s="106"/>
      <c r="AW171" s="106"/>
    </row>
    <row r="172" customFormat="false" ht="12.75" hidden="false" customHeight="false" outlineLevel="0" collapsed="false">
      <c r="B172" s="36"/>
      <c r="D172" s="160"/>
      <c r="E172" s="160"/>
      <c r="F172" s="160"/>
      <c r="G172" s="160"/>
      <c r="H172" s="160"/>
      <c r="I172" s="160"/>
      <c r="J172" s="160"/>
      <c r="K172" s="160"/>
      <c r="L172" s="160"/>
      <c r="M172" s="169"/>
      <c r="N172" s="160"/>
      <c r="O172" s="160"/>
      <c r="P172" s="160"/>
      <c r="Q172" s="160"/>
      <c r="R172" s="160"/>
      <c r="S172" s="160"/>
      <c r="T172" s="160"/>
      <c r="U172" s="160"/>
      <c r="V172" s="160"/>
      <c r="AR172" s="106"/>
      <c r="AS172" s="106"/>
      <c r="AT172" s="106"/>
      <c r="AU172" s="106"/>
      <c r="AV172" s="106"/>
      <c r="AW172" s="106"/>
    </row>
    <row r="173" customFormat="false" ht="12.75" hidden="false" customHeight="false" outlineLevel="0" collapsed="false">
      <c r="B173" s="36"/>
      <c r="D173" s="160"/>
      <c r="E173" s="160"/>
      <c r="F173" s="160"/>
      <c r="G173" s="160"/>
      <c r="H173" s="160"/>
      <c r="I173" s="160"/>
      <c r="J173" s="160"/>
      <c r="K173" s="160"/>
      <c r="L173" s="160"/>
      <c r="M173" s="169"/>
      <c r="N173" s="160"/>
      <c r="O173" s="160"/>
      <c r="P173" s="160"/>
      <c r="Q173" s="160"/>
      <c r="R173" s="160"/>
      <c r="S173" s="160"/>
      <c r="T173" s="160"/>
      <c r="U173" s="160"/>
      <c r="V173" s="160"/>
      <c r="AR173" s="106"/>
      <c r="AS173" s="106"/>
      <c r="AT173" s="106"/>
      <c r="AU173" s="106"/>
      <c r="AV173" s="106"/>
      <c r="AW173" s="106"/>
    </row>
    <row r="174" customFormat="false" ht="12.75" hidden="false" customHeight="false" outlineLevel="0" collapsed="false">
      <c r="B174" s="36"/>
      <c r="D174" s="160"/>
      <c r="E174" s="160"/>
      <c r="F174" s="160"/>
      <c r="G174" s="160"/>
      <c r="H174" s="160"/>
      <c r="I174" s="160"/>
      <c r="J174" s="160"/>
      <c r="K174" s="160"/>
      <c r="L174" s="160"/>
      <c r="M174" s="169"/>
      <c r="N174" s="160"/>
      <c r="O174" s="160"/>
      <c r="P174" s="160"/>
      <c r="Q174" s="160"/>
      <c r="R174" s="160"/>
      <c r="S174" s="160"/>
      <c r="T174" s="160"/>
      <c r="U174" s="160"/>
      <c r="V174" s="160"/>
      <c r="AR174" s="106"/>
      <c r="AS174" s="106"/>
      <c r="AT174" s="106"/>
      <c r="AU174" s="106"/>
      <c r="AV174" s="106"/>
      <c r="AW174" s="106"/>
    </row>
    <row r="175" customFormat="false" ht="12.75" hidden="false" customHeight="false" outlineLevel="0" collapsed="false">
      <c r="B175" s="36"/>
      <c r="D175" s="160"/>
      <c r="E175" s="160"/>
      <c r="F175" s="160"/>
      <c r="G175" s="160"/>
      <c r="H175" s="160"/>
      <c r="I175" s="160"/>
      <c r="J175" s="160"/>
      <c r="K175" s="160"/>
      <c r="L175" s="160"/>
      <c r="M175" s="169"/>
      <c r="N175" s="160"/>
      <c r="O175" s="160"/>
      <c r="P175" s="160"/>
      <c r="Q175" s="160"/>
      <c r="R175" s="160"/>
      <c r="S175" s="160"/>
      <c r="T175" s="160"/>
      <c r="U175" s="160"/>
      <c r="V175" s="160"/>
      <c r="AR175" s="106"/>
      <c r="AS175" s="106"/>
      <c r="AT175" s="106"/>
      <c r="AU175" s="106"/>
      <c r="AV175" s="106"/>
      <c r="AW175" s="106"/>
    </row>
    <row r="176" customFormat="false" ht="12.75" hidden="false" customHeight="false" outlineLevel="0" collapsed="false">
      <c r="B176" s="36"/>
      <c r="D176" s="160"/>
      <c r="E176" s="160"/>
      <c r="F176" s="160"/>
      <c r="G176" s="160"/>
      <c r="H176" s="160"/>
      <c r="I176" s="160"/>
      <c r="J176" s="160"/>
      <c r="K176" s="160"/>
      <c r="L176" s="160"/>
      <c r="M176" s="169"/>
      <c r="N176" s="160"/>
      <c r="O176" s="160"/>
      <c r="P176" s="160"/>
      <c r="Q176" s="160"/>
      <c r="R176" s="160"/>
      <c r="S176" s="160"/>
      <c r="T176" s="160"/>
      <c r="U176" s="160"/>
      <c r="V176" s="160"/>
      <c r="AR176" s="106"/>
      <c r="AS176" s="106"/>
      <c r="AT176" s="106"/>
      <c r="AU176" s="106"/>
      <c r="AV176" s="106"/>
      <c r="AW176" s="106"/>
    </row>
    <row r="177" customFormat="false" ht="12.75" hidden="false" customHeight="false" outlineLevel="0" collapsed="false">
      <c r="B177" s="36"/>
      <c r="D177" s="160"/>
      <c r="E177" s="160"/>
      <c r="F177" s="160"/>
      <c r="G177" s="160"/>
      <c r="H177" s="160"/>
      <c r="I177" s="160"/>
      <c r="J177" s="160"/>
      <c r="K177" s="160"/>
      <c r="L177" s="160"/>
      <c r="M177" s="169"/>
      <c r="N177" s="160"/>
      <c r="O177" s="160"/>
      <c r="P177" s="160"/>
      <c r="Q177" s="160"/>
      <c r="R177" s="160"/>
      <c r="S177" s="160"/>
      <c r="T177" s="160"/>
      <c r="U177" s="160"/>
      <c r="V177" s="160"/>
      <c r="AR177" s="106"/>
      <c r="AS177" s="106"/>
      <c r="AT177" s="106"/>
      <c r="AU177" s="106"/>
      <c r="AV177" s="106"/>
      <c r="AW177" s="106"/>
    </row>
    <row r="178" customFormat="false" ht="12.75" hidden="false" customHeight="false" outlineLevel="0" collapsed="false">
      <c r="B178" s="36"/>
      <c r="D178" s="160"/>
      <c r="E178" s="160"/>
      <c r="F178" s="160"/>
      <c r="G178" s="160"/>
      <c r="H178" s="160"/>
      <c r="I178" s="160"/>
      <c r="J178" s="160"/>
      <c r="K178" s="160"/>
      <c r="L178" s="160"/>
      <c r="M178" s="169"/>
      <c r="N178" s="160"/>
      <c r="O178" s="160"/>
      <c r="P178" s="160"/>
      <c r="Q178" s="160"/>
      <c r="R178" s="160"/>
      <c r="S178" s="160"/>
      <c r="T178" s="160"/>
      <c r="U178" s="160"/>
      <c r="V178" s="160"/>
      <c r="AR178" s="106"/>
      <c r="AS178" s="106"/>
      <c r="AT178" s="106"/>
      <c r="AU178" s="106"/>
      <c r="AV178" s="106"/>
      <c r="AW178" s="106"/>
    </row>
    <row r="179" customFormat="false" ht="12.75" hidden="false" customHeight="false" outlineLevel="0" collapsed="false">
      <c r="B179" s="36"/>
      <c r="D179" s="160"/>
      <c r="E179" s="160"/>
      <c r="F179" s="160"/>
      <c r="G179" s="160"/>
      <c r="H179" s="160"/>
      <c r="I179" s="160"/>
      <c r="J179" s="160"/>
      <c r="K179" s="160"/>
      <c r="L179" s="160"/>
      <c r="M179" s="169"/>
      <c r="N179" s="160"/>
      <c r="O179" s="160"/>
      <c r="P179" s="160"/>
      <c r="Q179" s="160"/>
      <c r="R179" s="160"/>
      <c r="S179" s="160"/>
      <c r="T179" s="160"/>
      <c r="U179" s="160"/>
      <c r="V179" s="160"/>
      <c r="AR179" s="106"/>
      <c r="AS179" s="106"/>
      <c r="AT179" s="106"/>
      <c r="AU179" s="106"/>
      <c r="AV179" s="106"/>
      <c r="AW179" s="106"/>
    </row>
    <row r="180" customFormat="false" ht="12.75" hidden="false" customHeight="false" outlineLevel="0" collapsed="false">
      <c r="B180" s="36"/>
      <c r="D180" s="160"/>
      <c r="E180" s="160"/>
      <c r="F180" s="160"/>
      <c r="G180" s="160"/>
      <c r="H180" s="160"/>
      <c r="I180" s="160"/>
      <c r="J180" s="160"/>
      <c r="K180" s="160"/>
      <c r="L180" s="160"/>
      <c r="M180" s="169"/>
      <c r="N180" s="160"/>
      <c r="O180" s="160"/>
      <c r="P180" s="160"/>
      <c r="Q180" s="160"/>
      <c r="R180" s="160"/>
      <c r="S180" s="160"/>
      <c r="T180" s="160"/>
      <c r="U180" s="160"/>
      <c r="V180" s="160"/>
      <c r="AR180" s="106"/>
      <c r="AS180" s="106"/>
      <c r="AT180" s="106"/>
      <c r="AU180" s="106"/>
      <c r="AV180" s="106"/>
      <c r="AW180" s="106"/>
    </row>
    <row r="181" customFormat="false" ht="12.75" hidden="false" customHeight="false" outlineLevel="0" collapsed="false">
      <c r="B181" s="36"/>
      <c r="D181" s="160"/>
      <c r="E181" s="160"/>
      <c r="F181" s="160"/>
      <c r="G181" s="160"/>
      <c r="H181" s="160"/>
      <c r="I181" s="160"/>
      <c r="J181" s="160"/>
      <c r="K181" s="160"/>
      <c r="L181" s="160"/>
      <c r="M181" s="169"/>
      <c r="N181" s="160"/>
      <c r="O181" s="160"/>
      <c r="P181" s="160"/>
      <c r="Q181" s="160"/>
      <c r="R181" s="160"/>
      <c r="S181" s="160"/>
      <c r="T181" s="160"/>
      <c r="U181" s="160"/>
      <c r="V181" s="160"/>
      <c r="AR181" s="106"/>
      <c r="AS181" s="106"/>
      <c r="AT181" s="106"/>
      <c r="AU181" s="106"/>
      <c r="AV181" s="106"/>
      <c r="AW181" s="106"/>
    </row>
    <row r="182" customFormat="false" ht="12.75" hidden="false" customHeight="false" outlineLevel="0" collapsed="false">
      <c r="B182" s="36"/>
      <c r="D182" s="160"/>
      <c r="E182" s="160"/>
      <c r="F182" s="160"/>
      <c r="G182" s="160"/>
      <c r="H182" s="160"/>
      <c r="I182" s="160"/>
      <c r="J182" s="160"/>
      <c r="K182" s="160"/>
      <c r="L182" s="160"/>
      <c r="M182" s="169"/>
      <c r="N182" s="160"/>
      <c r="O182" s="160"/>
      <c r="P182" s="160"/>
      <c r="Q182" s="160"/>
      <c r="R182" s="160"/>
      <c r="S182" s="160"/>
      <c r="T182" s="160"/>
      <c r="U182" s="160"/>
      <c r="V182" s="160"/>
      <c r="AR182" s="106"/>
      <c r="AS182" s="106"/>
      <c r="AT182" s="106"/>
      <c r="AU182" s="106"/>
      <c r="AV182" s="106"/>
      <c r="AW182" s="106"/>
    </row>
    <row r="183" customFormat="false" ht="12.75" hidden="false" customHeight="false" outlineLevel="0" collapsed="false">
      <c r="B183" s="36"/>
      <c r="D183" s="160"/>
      <c r="E183" s="160"/>
      <c r="F183" s="160"/>
      <c r="G183" s="160"/>
      <c r="H183" s="160"/>
      <c r="I183" s="160"/>
      <c r="J183" s="160"/>
      <c r="K183" s="160"/>
      <c r="L183" s="160"/>
      <c r="M183" s="169"/>
      <c r="N183" s="160"/>
      <c r="O183" s="160"/>
      <c r="P183" s="160"/>
      <c r="Q183" s="160"/>
      <c r="R183" s="160"/>
      <c r="S183" s="160"/>
      <c r="T183" s="160"/>
      <c r="U183" s="160"/>
      <c r="V183" s="160"/>
      <c r="AR183" s="106"/>
      <c r="AS183" s="106"/>
      <c r="AT183" s="106"/>
      <c r="AU183" s="106"/>
      <c r="AV183" s="106"/>
      <c r="AW183" s="106"/>
    </row>
    <row r="184" customFormat="false" ht="12.75" hidden="false" customHeight="false" outlineLevel="0" collapsed="false">
      <c r="B184" s="36"/>
      <c r="D184" s="160"/>
      <c r="E184" s="160"/>
      <c r="F184" s="160"/>
      <c r="G184" s="160"/>
      <c r="H184" s="160"/>
      <c r="I184" s="160"/>
      <c r="J184" s="160"/>
      <c r="K184" s="160"/>
      <c r="L184" s="160"/>
      <c r="M184" s="169"/>
      <c r="N184" s="160"/>
      <c r="O184" s="160"/>
      <c r="P184" s="160"/>
      <c r="Q184" s="160"/>
      <c r="R184" s="160"/>
      <c r="S184" s="160"/>
      <c r="T184" s="160"/>
      <c r="U184" s="160"/>
      <c r="V184" s="160"/>
      <c r="AR184" s="106"/>
      <c r="AS184" s="106"/>
      <c r="AT184" s="106"/>
      <c r="AU184" s="106"/>
      <c r="AV184" s="106"/>
      <c r="AW184" s="106"/>
    </row>
    <row r="185" customFormat="false" ht="12.75" hidden="false" customHeight="false" outlineLevel="0" collapsed="false">
      <c r="B185" s="36"/>
      <c r="D185" s="160"/>
      <c r="E185" s="160"/>
      <c r="F185" s="160"/>
      <c r="G185" s="160"/>
      <c r="H185" s="160"/>
      <c r="I185" s="160"/>
      <c r="J185" s="160"/>
      <c r="K185" s="160"/>
      <c r="L185" s="160"/>
      <c r="M185" s="169"/>
      <c r="N185" s="160"/>
      <c r="O185" s="160"/>
      <c r="P185" s="160"/>
      <c r="Q185" s="160"/>
      <c r="R185" s="160"/>
      <c r="S185" s="160"/>
      <c r="T185" s="160"/>
      <c r="U185" s="160"/>
      <c r="V185" s="160"/>
      <c r="AR185" s="106"/>
      <c r="AS185" s="106"/>
      <c r="AT185" s="106"/>
      <c r="AU185" s="106"/>
      <c r="AV185" s="106"/>
      <c r="AW185" s="106"/>
    </row>
    <row r="186" customFormat="false" ht="12.75" hidden="false" customHeight="false" outlineLevel="0" collapsed="false">
      <c r="B186" s="36"/>
      <c r="D186" s="160"/>
      <c r="E186" s="160"/>
      <c r="F186" s="160"/>
      <c r="G186" s="160"/>
      <c r="H186" s="160"/>
      <c r="I186" s="160"/>
      <c r="J186" s="160"/>
      <c r="K186" s="160"/>
      <c r="L186" s="160"/>
      <c r="M186" s="169"/>
      <c r="N186" s="160"/>
      <c r="O186" s="160"/>
      <c r="P186" s="160"/>
      <c r="Q186" s="160"/>
      <c r="R186" s="160"/>
      <c r="S186" s="160"/>
      <c r="T186" s="160"/>
      <c r="U186" s="160"/>
      <c r="V186" s="160"/>
      <c r="AR186" s="106"/>
      <c r="AS186" s="106"/>
      <c r="AT186" s="106"/>
      <c r="AU186" s="106"/>
      <c r="AV186" s="106"/>
      <c r="AW186" s="106"/>
    </row>
    <row r="187" customFormat="false" ht="12.75" hidden="false" customHeight="false" outlineLevel="0" collapsed="false">
      <c r="B187" s="36"/>
      <c r="AR187" s="106"/>
      <c r="AS187" s="106"/>
      <c r="AT187" s="106"/>
      <c r="AU187" s="106"/>
      <c r="AV187" s="106"/>
      <c r="AW187" s="106"/>
    </row>
    <row r="188" customFormat="false" ht="12.75" hidden="false" customHeight="false" outlineLevel="0" collapsed="false">
      <c r="B188" s="36"/>
      <c r="AR188" s="106"/>
      <c r="AS188" s="106"/>
      <c r="AT188" s="106"/>
      <c r="AU188" s="106"/>
      <c r="AV188" s="106"/>
      <c r="AW188" s="106"/>
    </row>
    <row r="189" customFormat="false" ht="12.75" hidden="false" customHeight="false" outlineLevel="0" collapsed="false">
      <c r="B189" s="36"/>
      <c r="AR189" s="106"/>
      <c r="AS189" s="106"/>
      <c r="AT189" s="106"/>
      <c r="AU189" s="106"/>
      <c r="AV189" s="106"/>
      <c r="AW189" s="106"/>
    </row>
    <row r="190" customFormat="false" ht="12.75" hidden="false" customHeight="false" outlineLevel="0" collapsed="false">
      <c r="B190" s="36"/>
      <c r="AR190" s="106"/>
      <c r="AS190" s="106"/>
      <c r="AT190" s="106"/>
      <c r="AU190" s="106"/>
      <c r="AV190" s="106"/>
      <c r="AW190" s="106"/>
    </row>
    <row r="191" customFormat="false" ht="12.75" hidden="false" customHeight="false" outlineLevel="0" collapsed="false">
      <c r="B191" s="36"/>
    </row>
    <row r="192" customFormat="false" ht="12.75" hidden="false" customHeight="false" outlineLevel="0" collapsed="false">
      <c r="B192" s="36"/>
    </row>
    <row r="193" customFormat="false" ht="12.75" hidden="false" customHeight="false" outlineLevel="0" collapsed="false">
      <c r="B19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291240</xdr:colOff>
                    <xdr:row>0</xdr:row>
                    <xdr:rowOff>275760</xdr:rowOff>
                  </from>
                  <to>
                    <xdr:col>17</xdr:col>
                    <xdr:colOff>231840</xdr:colOff>
                    <xdr:row>1</xdr:row>
                    <xdr:rowOff>266760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275"/>
  <sheetViews>
    <sheetView showFormulas="false" showGridLines="true" showRowColHeaders="true" showZeros="true" rightToLeft="false" tabSelected="false" showOutlineSymbols="true" defaultGridColor="true" view="normal" topLeftCell="A77" colorId="64" zoomScale="85" zoomScaleNormal="85" zoomScalePageLayoutView="100" workbookViewId="0">
      <selection pane="topLeft" activeCell="E86" activeCellId="0" sqref="E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2" min="2" style="0" width="18.99"/>
    <col collapsed="false" customWidth="true" hidden="false" outlineLevel="0" max="3" min="3" style="0" width="17.7"/>
    <col collapsed="false" customWidth="true" hidden="false" outlineLevel="0" max="4" min="4" style="0" width="19.28"/>
    <col collapsed="false" customWidth="true" hidden="false" outlineLevel="0" max="5" min="5" style="0" width="15.41"/>
    <col collapsed="false" customWidth="true" hidden="false" outlineLevel="0" max="6" min="6" style="0" width="18.14"/>
    <col collapsed="false" customWidth="true" hidden="false" outlineLevel="0" max="7" min="7" style="0" width="19.14"/>
    <col collapsed="false" customWidth="true" hidden="false" outlineLevel="0" max="8" min="8" style="0" width="17.7"/>
    <col collapsed="false" customWidth="true" hidden="false" outlineLevel="0" max="9" min="9" style="0" width="19.7"/>
    <col collapsed="false" customWidth="true" hidden="false" outlineLevel="0" max="10" min="10" style="0" width="17.85"/>
    <col collapsed="false" customWidth="true" hidden="false" outlineLevel="0" max="11" min="11" style="0" width="15.7"/>
    <col collapsed="false" customWidth="true" hidden="false" outlineLevel="0" max="12" min="12" style="0" width="12.7"/>
    <col collapsed="false" customWidth="true" hidden="false" outlineLevel="0" max="13" min="13" style="0" width="12.56"/>
    <col collapsed="false" customWidth="true" hidden="false" outlineLevel="0" max="14" min="14" style="0" width="11.28"/>
    <col collapsed="false" customWidth="true" hidden="false" outlineLevel="0" max="15" min="15" style="0" width="13.14"/>
    <col collapsed="false" customWidth="true" hidden="false" outlineLevel="0" max="18" min="16" style="0" width="12.7"/>
    <col collapsed="false" customWidth="true" hidden="false" outlineLevel="0" max="19" min="19" style="0" width="13.14"/>
    <col collapsed="false" customWidth="true" hidden="false" outlineLevel="0" max="24" min="22" style="0" width="12.7"/>
    <col collapsed="false" customWidth="true" hidden="false" outlineLevel="0" max="25" min="25" style="0" width="15.7"/>
  </cols>
  <sheetData>
    <row r="2" customFormat="false" ht="15.75" hidden="false" customHeight="false" outlineLevel="0" collapsed="false">
      <c r="A2" s="193" t="s">
        <v>246</v>
      </c>
    </row>
    <row r="3" customFormat="false" ht="12.75" hidden="false" customHeight="false" outlineLevel="0" collapsed="false">
      <c r="A3" s="61"/>
      <c r="B3" s="61"/>
      <c r="C3" s="61"/>
      <c r="D3" s="61"/>
      <c r="E3" s="61"/>
      <c r="F3" s="61"/>
      <c r="G3" s="61"/>
    </row>
    <row r="4" customFormat="false" ht="12.75" hidden="false" customHeight="false" outlineLevel="0" collapsed="false">
      <c r="A4" s="61" t="s">
        <v>247</v>
      </c>
      <c r="B4" s="61"/>
      <c r="C4" s="194" t="n">
        <v>17.7</v>
      </c>
      <c r="D4" s="61"/>
      <c r="E4" s="61"/>
      <c r="F4" s="61"/>
      <c r="G4" s="61"/>
    </row>
    <row r="5" customFormat="false" ht="12.75" hidden="false" customHeight="false" outlineLevel="0" collapsed="false">
      <c r="A5" s="61"/>
      <c r="B5" s="61"/>
      <c r="C5" s="195" t="s">
        <v>248</v>
      </c>
      <c r="D5" s="61" t="s">
        <v>249</v>
      </c>
      <c r="E5" s="61"/>
      <c r="F5" s="61"/>
      <c r="G5" s="61"/>
    </row>
    <row r="6" customFormat="false" ht="12.75" hidden="false" customHeight="false" outlineLevel="0" collapsed="false">
      <c r="A6" s="61"/>
      <c r="B6" s="61" t="s">
        <v>250</v>
      </c>
      <c r="C6" s="196" t="n">
        <v>1.085</v>
      </c>
      <c r="D6" s="56" t="n">
        <f aca="false">C6*$C$4</f>
        <v>19.2045</v>
      </c>
      <c r="E6" s="61"/>
      <c r="F6" s="61"/>
      <c r="G6" s="61"/>
    </row>
    <row r="7" customFormat="false" ht="12.75" hidden="false" customHeight="false" outlineLevel="0" collapsed="false">
      <c r="A7" s="61"/>
      <c r="B7" s="61" t="s">
        <v>251</v>
      </c>
      <c r="C7" s="196" t="n">
        <v>1.07</v>
      </c>
      <c r="D7" s="56" t="n">
        <f aca="false">C7*C4</f>
        <v>18.939</v>
      </c>
      <c r="E7" s="61"/>
      <c r="F7" s="61"/>
      <c r="G7" s="61"/>
    </row>
    <row r="8" customFormat="false" ht="12.75" hidden="false" customHeight="false" outlineLevel="0" collapsed="false">
      <c r="A8" s="61"/>
      <c r="B8" s="61" t="s">
        <v>238</v>
      </c>
      <c r="C8" s="196" t="n">
        <v>0.935</v>
      </c>
      <c r="D8" s="197" t="n">
        <v>16.3938618925831</v>
      </c>
      <c r="E8" s="61"/>
      <c r="F8" s="61"/>
      <c r="G8" s="61"/>
    </row>
    <row r="9" customFormat="false" ht="12.75" hidden="false" customHeight="false" outlineLevel="0" collapsed="false">
      <c r="A9" s="61"/>
      <c r="B9" s="61" t="s">
        <v>252</v>
      </c>
      <c r="C9" s="196" t="n">
        <v>0.945</v>
      </c>
      <c r="D9" s="56" t="n">
        <v>15.8057851239669</v>
      </c>
      <c r="E9" s="61"/>
      <c r="F9" s="61"/>
      <c r="G9" s="61"/>
    </row>
    <row r="10" customFormat="false" ht="12.75" hidden="false" customHeight="false" outlineLevel="0" collapsed="false">
      <c r="A10" s="61"/>
      <c r="B10" s="61" t="s">
        <v>253</v>
      </c>
      <c r="C10" s="196" t="n">
        <v>0.945</v>
      </c>
      <c r="D10" s="56" t="n">
        <v>15.7835110028734</v>
      </c>
      <c r="E10" s="61"/>
      <c r="F10" s="61"/>
      <c r="G10" s="61"/>
    </row>
    <row r="11" customFormat="false" ht="12.75" hidden="false" customHeight="false" outlineLevel="0" collapsed="false">
      <c r="A11" s="61"/>
      <c r="B11" s="61" t="s">
        <v>254</v>
      </c>
      <c r="C11" s="196" t="n">
        <v>0.895</v>
      </c>
      <c r="D11" s="56" t="n">
        <v>14.9893765471039</v>
      </c>
      <c r="E11" s="56" t="n">
        <f aca="false">AVERAGE(D6:D11)</f>
        <v>16.8526724277546</v>
      </c>
      <c r="F11" s="56" t="n">
        <f aca="false">(D7+D8*2+D10*3+D11*3)/9</f>
        <v>16.0050429372331</v>
      </c>
      <c r="G11" s="61"/>
    </row>
    <row r="12" customFormat="false" ht="12.75" hidden="false" customHeight="false" outlineLevel="0" collapsed="false">
      <c r="A12" s="198" t="s">
        <v>255</v>
      </c>
      <c r="B12" s="198"/>
      <c r="C12" s="56" t="n">
        <v>17.5</v>
      </c>
      <c r="D12" s="56"/>
      <c r="E12" s="61"/>
      <c r="F12" s="61"/>
      <c r="G12" s="61"/>
    </row>
    <row r="13" customFormat="false" ht="12.75" hidden="false" customHeight="false" outlineLevel="0" collapsed="false">
      <c r="A13" s="198" t="s">
        <v>256</v>
      </c>
      <c r="B13" s="198"/>
      <c r="C13" s="56" t="n">
        <v>15.55</v>
      </c>
      <c r="D13" s="56"/>
      <c r="E13" s="61"/>
      <c r="F13" s="61"/>
      <c r="G13" s="61"/>
    </row>
    <row r="14" customFormat="false" ht="12.75" hidden="false" customHeight="false" outlineLevel="0" collapsed="false">
      <c r="A14" s="198" t="s">
        <v>257</v>
      </c>
      <c r="B14" s="198"/>
      <c r="C14" s="56" t="n">
        <v>15.2</v>
      </c>
      <c r="D14" s="56"/>
      <c r="E14" s="61"/>
      <c r="F14" s="61"/>
      <c r="G14" s="61"/>
    </row>
    <row r="15" customFormat="false" ht="12.75" hidden="false" customHeight="false" outlineLevel="0" collapsed="false">
      <c r="A15" s="198" t="s">
        <v>258</v>
      </c>
      <c r="B15" s="198"/>
      <c r="C15" s="56" t="n">
        <v>15.15</v>
      </c>
      <c r="D15" s="56"/>
      <c r="E15" s="61"/>
      <c r="F15" s="61"/>
      <c r="G15" s="61"/>
    </row>
    <row r="16" customFormat="false" ht="12.75" hidden="false" customHeight="false" outlineLevel="0" collapsed="false">
      <c r="A16" s="198" t="s">
        <v>259</v>
      </c>
      <c r="B16" s="198"/>
      <c r="C16" s="56" t="n">
        <v>15.1</v>
      </c>
      <c r="D16" s="56"/>
      <c r="E16" s="61"/>
      <c r="F16" s="61"/>
      <c r="G16" s="61"/>
    </row>
    <row r="17" customFormat="false" ht="12.75" hidden="false" customHeight="false" outlineLevel="0" collapsed="false">
      <c r="A17" s="61"/>
      <c r="B17" s="61"/>
      <c r="C17" s="54"/>
      <c r="D17" s="61"/>
      <c r="E17" s="61"/>
      <c r="F17" s="61"/>
      <c r="G17" s="61"/>
    </row>
    <row r="18" customFormat="false" ht="12.75" hidden="false" customHeight="false" outlineLevel="0" collapsed="false">
      <c r="A18" s="61" t="s">
        <v>260</v>
      </c>
      <c r="B18" s="61"/>
      <c r="C18" s="199" t="s">
        <v>48</v>
      </c>
      <c r="D18" s="200" t="s">
        <v>81</v>
      </c>
      <c r="E18" s="61"/>
      <c r="F18" s="61"/>
      <c r="G18" s="61"/>
    </row>
    <row r="19" customFormat="false" ht="12.75" hidden="false" customHeight="false" outlineLevel="0" collapsed="false">
      <c r="A19" s="61"/>
      <c r="B19" s="201" t="n">
        <v>2000</v>
      </c>
      <c r="C19" s="54" t="n">
        <v>1</v>
      </c>
      <c r="D19" s="54" t="n">
        <v>1</v>
      </c>
      <c r="E19" s="61"/>
      <c r="F19" s="61"/>
      <c r="G19" s="61"/>
    </row>
    <row r="20" customFormat="false" ht="12.75" hidden="false" customHeight="false" outlineLevel="0" collapsed="false">
      <c r="A20" s="61"/>
      <c r="B20" s="61"/>
      <c r="C20" s="54"/>
      <c r="D20" s="61"/>
      <c r="E20" s="61"/>
      <c r="F20" s="61"/>
      <c r="G20" s="61"/>
    </row>
    <row r="21" customFormat="false" ht="12.75" hidden="false" customHeight="false" outlineLevel="0" collapsed="false">
      <c r="A21" s="61" t="s">
        <v>261</v>
      </c>
      <c r="B21" s="61"/>
      <c r="C21" s="54"/>
      <c r="D21" s="61"/>
      <c r="E21" s="61"/>
      <c r="F21" s="61"/>
      <c r="G21" s="61"/>
    </row>
    <row r="22" customFormat="false" ht="12.75" hidden="false" customHeight="false" outlineLevel="0" collapsed="false">
      <c r="A22" s="61" t="s">
        <v>262</v>
      </c>
      <c r="B22" s="196" t="n">
        <v>0.02</v>
      </c>
      <c r="C22" s="54"/>
      <c r="D22" s="61"/>
      <c r="E22" s="61"/>
      <c r="F22" s="61"/>
      <c r="G22" s="61"/>
    </row>
    <row r="23" customFormat="false" ht="12.75" hidden="false" customHeight="false" outlineLevel="0" collapsed="false"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5" customFormat="false" ht="12.75" hidden="false" customHeight="false" outlineLevel="0" collapsed="false">
      <c r="K25" s="139"/>
    </row>
    <row r="26" customFormat="false" ht="12.75" hidden="false" customHeight="false" outlineLevel="0" collapsed="false">
      <c r="A26" s="1" t="s">
        <v>263</v>
      </c>
    </row>
    <row r="28" customFormat="false" ht="12.75" hidden="false" customHeight="false" outlineLevel="0" collapsed="false">
      <c r="A28" s="0" t="s">
        <v>264</v>
      </c>
      <c r="B28" s="45" t="s">
        <v>133</v>
      </c>
      <c r="D28" s="45" t="s">
        <v>132</v>
      </c>
      <c r="F28" s="45" t="s">
        <v>107</v>
      </c>
      <c r="H28" s="45" t="s">
        <v>108</v>
      </c>
      <c r="K28" s="0" t="s">
        <v>265</v>
      </c>
      <c r="M28" s="0" t="s">
        <v>266</v>
      </c>
      <c r="N28" s="0" t="s">
        <v>267</v>
      </c>
    </row>
    <row r="29" customFormat="false" ht="12.75" hidden="false" customHeight="false" outlineLevel="0" collapsed="false">
      <c r="B29" s="45" t="s">
        <v>48</v>
      </c>
      <c r="D29" s="45" t="s">
        <v>81</v>
      </c>
      <c r="F29" s="45" t="s">
        <v>268</v>
      </c>
      <c r="H29" s="45"/>
    </row>
    <row r="30" customFormat="false" ht="12.75" hidden="false" customHeight="false" outlineLevel="0" collapsed="false">
      <c r="A30" s="148" t="n">
        <v>36526</v>
      </c>
      <c r="B30" s="135" t="e">
        <f aca="false">J82/H82</f>
        <v>#DIV/0!</v>
      </c>
      <c r="D30" s="135" t="e">
        <f aca="false">K82/H82</f>
        <v>#DIV/0!</v>
      </c>
      <c r="F30" s="135" t="e">
        <f aca="false">L82/H82</f>
        <v>#DIV/0!</v>
      </c>
      <c r="H30" s="135" t="e">
        <f aca="false">M82/H82</f>
        <v>#DIV/0!</v>
      </c>
      <c r="K30" s="135" t="e">
        <f aca="false">N82/H82</f>
        <v>#DIV/0!</v>
      </c>
      <c r="M30" s="135" t="e">
        <f aca="false">O82/H82</f>
        <v>#DIV/0!</v>
      </c>
      <c r="N30" s="135" t="e">
        <f aca="false">P82/H82</f>
        <v>#REF!</v>
      </c>
    </row>
    <row r="31" customFormat="false" ht="12.75" hidden="false" customHeight="false" outlineLevel="0" collapsed="false">
      <c r="A31" s="0" t="s">
        <v>269</v>
      </c>
      <c r="B31" s="140" t="n">
        <f aca="false">SUM(J82:J84)/SUM($H82:$H84)</f>
        <v>30</v>
      </c>
      <c r="D31" s="140" t="n">
        <f aca="false">SUM(K82:K84)/SUM($H82:$H84)</f>
        <v>41</v>
      </c>
      <c r="F31" s="140" t="n">
        <f aca="false">SUM(L82:L84)/SUM($H82:$H84)</f>
        <v>91.221375</v>
      </c>
      <c r="H31" s="140" t="n">
        <f aca="false">SUM(M82:M84)/SUM($H82:$H84)</f>
        <v>70.8400408737024</v>
      </c>
      <c r="K31" s="140" t="n">
        <f aca="false">SUM(N82:N84)/SUM($H82:$H84)</f>
        <v>4.75</v>
      </c>
      <c r="M31" s="140" t="n">
        <f aca="false">SUM(O82:O84)/SUM($H82:$H84)</f>
        <v>115.614375</v>
      </c>
      <c r="N31" s="140" t="e">
        <f aca="false">SUM(P82:P84)/SUM($H82:$H84)</f>
        <v>#REF!</v>
      </c>
    </row>
    <row r="32" customFormat="false" ht="12.75" hidden="false" customHeight="false" outlineLevel="0" collapsed="false">
      <c r="A32" s="0" t="s">
        <v>270</v>
      </c>
      <c r="B32" s="140" t="n">
        <f aca="false">SUM(J85:J87)/SUM($H85:$H87)</f>
        <v>32.0119047619048</v>
      </c>
      <c r="D32" s="140" t="n">
        <f aca="false">SUM(K85:K87)/SUM($H85:$H87)</f>
        <v>44</v>
      </c>
      <c r="F32" s="140" t="n">
        <f aca="false">SUM(L85:L87)/SUM($H85:$H87)</f>
        <v>67.23675</v>
      </c>
      <c r="H32" s="140" t="n">
        <f aca="false">SUM(M85:M87)/SUM($H85:$H87)</f>
        <v>54.7173465265191</v>
      </c>
      <c r="K32" s="140" t="n">
        <f aca="false">SUM(N85:N87)/SUM($H85:$H87)</f>
        <v>4.78333333333333</v>
      </c>
      <c r="M32" s="140" t="n">
        <f aca="false">SUM(O85:O87)/SUM($H85:$H87)</f>
        <v>103.61965</v>
      </c>
      <c r="N32" s="140" t="n">
        <f aca="false">SUM(P85:P87)/SUM($H85:$H87)</f>
        <v>91.6240565664648</v>
      </c>
    </row>
    <row r="33" customFormat="false" ht="12.75" hidden="false" customHeight="false" outlineLevel="0" collapsed="false">
      <c r="A33" s="0" t="s">
        <v>271</v>
      </c>
      <c r="B33" s="140" t="n">
        <f aca="false">SUM(J88:J90)/SUM($H88:$H90)</f>
        <v>32.9969561806514</v>
      </c>
      <c r="D33" s="140" t="n">
        <f aca="false">SUM(K88:K90)/SUM($H88:$H90)</f>
        <v>40.6646374537676</v>
      </c>
      <c r="F33" s="140" t="n">
        <f aca="false">SUM(L88:L90)/SUM($H88:$H90)</f>
        <v>63.5060769138081</v>
      </c>
      <c r="H33" s="140" t="n">
        <f aca="false">SUM(M88:M90)/SUM($H88:$H90)</f>
        <v>49.6701365165599</v>
      </c>
      <c r="K33" s="140" t="n">
        <f aca="false">SUM(N88:N90)/SUM($H88:$H90)</f>
        <v>5.0266999094985</v>
      </c>
      <c r="M33" s="140" t="n">
        <f aca="false">SUM(O88:O90)/SUM($H88:$H90)</f>
        <v>109.116512188808</v>
      </c>
      <c r="N33" s="140" t="n">
        <f aca="false">SUM(P88:P90)/SUM($H88:$H90)</f>
        <v>91.0677402264479</v>
      </c>
    </row>
    <row r="34" customFormat="false" ht="12.75" hidden="false" customHeight="false" outlineLevel="0" collapsed="false">
      <c r="A34" s="0" t="s">
        <v>272</v>
      </c>
      <c r="B34" s="140" t="n">
        <f aca="false">SUM(J91:J93)/SUM($H91:$H93)</f>
        <v>32.3333266636235</v>
      </c>
      <c r="D34" s="140" t="n">
        <f aca="false">SUM(K91:K93)/SUM($H91:$H93)</f>
        <v>38.6666228441893</v>
      </c>
      <c r="F34" s="140" t="n">
        <f aca="false">SUM(L91:L93)/SUM($H91:$H93)</f>
        <v>69.4166199910258</v>
      </c>
      <c r="H34" s="140" t="n">
        <f aca="false">SUM(M91:M93)/SUM($H91:$H93)</f>
        <v>51.6610149290051</v>
      </c>
      <c r="K34" s="140" t="n">
        <f aca="false">SUM(N91:N93)/SUM($H91:$H93)</f>
        <v>5.29166786350707</v>
      </c>
      <c r="M34" s="140" t="n">
        <f aca="false">SUM(O91:O93)/SUM($H91:$H93)</f>
        <v>88.1324904219276</v>
      </c>
      <c r="N34" s="140" t="n">
        <f aca="false">SUM(P91:P93)/SUM($H91:$H93)</f>
        <v>79.7659172791611</v>
      </c>
    </row>
    <row r="35" customFormat="false" ht="12.75" hidden="false" customHeight="false" outlineLevel="0" collapsed="false">
      <c r="A35" s="0" t="s">
        <v>273</v>
      </c>
      <c r="B35" s="140" t="n">
        <f aca="false">SUM(J94:J96)/SUM($H94:$H96)</f>
        <v>31.3332452504238</v>
      </c>
      <c r="D35" s="140" t="n">
        <f aca="false">SUM(K94:K96)/SUM($H94:$H96)</f>
        <v>37.8332917802681</v>
      </c>
      <c r="F35" s="140" t="n">
        <f aca="false">SUM(L94:L96)/SUM($H94:$H96)</f>
        <v>92.0496910592745</v>
      </c>
      <c r="H35" s="140" t="n">
        <f aca="false">SUM(M94:M96)/SUM($H94:$H96)</f>
        <v>62.3912217682583</v>
      </c>
      <c r="K35" s="140" t="n">
        <f aca="false">SUM(N94:N96)/SUM($H94:$H96)</f>
        <v>5.25998234624426</v>
      </c>
      <c r="M35" s="140" t="n">
        <f aca="false">SUM(O94:O96)/SUM($H94:$H96)</f>
        <v>70.6732984693675</v>
      </c>
      <c r="N35" s="140" t="n">
        <f aca="false">SUM(P94:P96)/SUM($H94:$H96)</f>
        <v>60.6377620899078</v>
      </c>
    </row>
    <row r="36" customFormat="false" ht="12.75" hidden="false" customHeight="false" outlineLevel="0" collapsed="false">
      <c r="A36" s="0" t="s">
        <v>274</v>
      </c>
      <c r="B36" s="140" t="n">
        <f aca="false">SUM(J97:J99)/SUM($H97:$H99)</f>
        <v>31.1654284119612</v>
      </c>
      <c r="D36" s="140" t="n">
        <f aca="false">SUM(K97:K99)/SUM($H97:$H99)</f>
        <v>37.5</v>
      </c>
      <c r="F36" s="140" t="n">
        <f aca="false">SUM(L97:L99)/SUM($H97:$H99)</f>
        <v>76.8477002792257</v>
      </c>
      <c r="H36" s="140" t="n">
        <f aca="false">SUM(M97:M99)/SUM($H97:$H99)</f>
        <v>54.7173620589706</v>
      </c>
      <c r="K36" s="140" t="n">
        <f aca="false">SUM(N97:N99)/SUM($H97:$H99)</f>
        <v>4.3912971588129</v>
      </c>
      <c r="M36" s="140" t="n">
        <f aca="false">SUM(O97:O99)/SUM($H97:$H99)</f>
        <v>59.8870520112395</v>
      </c>
      <c r="N36" s="140" t="n">
        <f aca="false">SUM(P97:P99)/SUM($H97:$H99)</f>
        <v>47.9499091277816</v>
      </c>
    </row>
    <row r="37" customFormat="false" ht="12.75" hidden="true" customHeight="true" outlineLevel="0" collapsed="false">
      <c r="A37" s="0" t="s">
        <v>275</v>
      </c>
      <c r="B37" s="140" t="n">
        <f aca="false">SUM(J100:J102)/SUM($H100:$H102)</f>
        <v>30</v>
      </c>
      <c r="D37" s="140" t="n">
        <f aca="false">SUM(K100:K102)/SUM($H100:$H102)</f>
        <v>39.5576338714865</v>
      </c>
      <c r="F37" s="140" t="n">
        <f aca="false">SUM(L100:L102)/SUM($H100:$H102)</f>
        <v>74.6474072355218</v>
      </c>
      <c r="H37" s="140" t="n">
        <f aca="false">SUM(M100:M102)/SUM($H100:$H102)</f>
        <v>53.834190238268</v>
      </c>
      <c r="K37" s="140" t="n">
        <f aca="false">SUM(N100:N102)/SUM($H100:$H102)</f>
        <v>4.26556612774411</v>
      </c>
      <c r="M37" s="140" t="n">
        <f aca="false">SUM(O100:O102)/SUM($H100:$H102)</f>
        <v>105.846222276535</v>
      </c>
      <c r="N37" s="140" t="n">
        <f aca="false">SUM(P100:P102)/SUM($H100:$H102)</f>
        <v>82.731844786039</v>
      </c>
    </row>
    <row r="38" customFormat="false" ht="12.75" hidden="false" customHeight="false" outlineLevel="0" collapsed="false">
      <c r="A38" s="0" t="s">
        <v>276</v>
      </c>
      <c r="B38" s="140" t="n">
        <f aca="false">SUM(J103:J105)/SUM($H103:$H105)</f>
        <v>31.996524541528</v>
      </c>
      <c r="D38" s="140" t="n">
        <f aca="false">SUM(K103:K105)/SUM($H103:$H105)</f>
        <v>40</v>
      </c>
      <c r="F38" s="140" t="n">
        <f aca="false">SUM(L103:L105)/SUM($H103:$H105)</f>
        <v>76.7296739074126</v>
      </c>
      <c r="H38" s="140" t="n">
        <f aca="false">SUM(M103:M105)/SUM($H103:$H105)</f>
        <v>55.6177362102966</v>
      </c>
      <c r="K38" s="140" t="n">
        <f aca="false">SUM(N103:N105)/SUM($H103:$H105)</f>
        <v>4.38455279470929</v>
      </c>
      <c r="M38" s="140" t="n">
        <f aca="false">SUM(O103:O105)/SUM($H103:$H105)</f>
        <v>76.5932588299726</v>
      </c>
      <c r="N38" s="140" t="n">
        <f aca="false">SUM(P103:P105)/SUM($H103:$H105)</f>
        <v>65.7648825977452</v>
      </c>
    </row>
    <row r="39" customFormat="false" ht="12.75" hidden="false" customHeight="false" outlineLevel="0" collapsed="false">
      <c r="A39" s="0" t="s">
        <v>277</v>
      </c>
      <c r="B39" s="140" t="n">
        <f aca="false">SUM(J106:J108)/SUM($H106:$H108)</f>
        <v>31.9623730071823</v>
      </c>
      <c r="D39" s="140" t="n">
        <f aca="false">SUM(K106:K108)/SUM($H106:$H108)</f>
        <v>38.5911669921944</v>
      </c>
      <c r="F39" s="140" t="n">
        <f aca="false">SUM(L106:L108)/SUM($H106:$H108)</f>
        <v>67.030222526922</v>
      </c>
      <c r="H39" s="140" t="n">
        <f aca="false">SUM(M106:M108)/SUM($H106:$H108)</f>
        <v>50.5474200444178</v>
      </c>
      <c r="K39" s="140" t="n">
        <f aca="false">SUM(N106:N108)/SUM($H106:$H108)</f>
        <v>4.31062524288888</v>
      </c>
      <c r="M39" s="140" t="n">
        <f aca="false">SUM(O106:O108)/SUM($H106:$H108)</f>
        <v>52.3163736193925</v>
      </c>
      <c r="N39" s="140" t="n">
        <f aca="false">SUM(P106:P108)/SUM($H106:$H108)</f>
        <v>47.8396170535521</v>
      </c>
    </row>
    <row r="40" customFormat="false" ht="12.75" hidden="false" customHeight="false" outlineLevel="0" collapsed="false">
      <c r="A40" s="0" t="s">
        <v>278</v>
      </c>
      <c r="B40" s="140" t="n">
        <f aca="false">SUM(J109:J111)/SUM($H109:$H111)</f>
        <v>31.7870225674336</v>
      </c>
      <c r="D40" s="140" t="n">
        <f aca="false">SUM(K109:K111)/SUM($H109:$H111)</f>
        <v>38.25</v>
      </c>
      <c r="F40" s="140" t="n">
        <f aca="false">SUM(L109:L111)/SUM($H109:$H111)</f>
        <v>57.997052664211</v>
      </c>
      <c r="H40" s="140" t="n">
        <f aca="false">SUM(M109:M111)/SUM($H109:$H111)</f>
        <v>46.1209701803384</v>
      </c>
      <c r="K40" s="140" t="n">
        <f aca="false">SUM(N109:N111)/SUM($H109:$H111)</f>
        <v>3.72971399769845</v>
      </c>
      <c r="M40" s="140" t="n">
        <f aca="false">SUM(O109:O111)/SUM($H109:$H111)</f>
        <v>48.9306956579244</v>
      </c>
      <c r="N40" s="140" t="n">
        <f aca="false">SUM(P109:P111)/SUM($H109:$H111)</f>
        <v>38.9449272281522</v>
      </c>
    </row>
    <row r="41" customFormat="false" ht="12.75" hidden="false" customHeight="false" outlineLevel="0" collapsed="false">
      <c r="A41" s="0" t="s">
        <v>279</v>
      </c>
      <c r="B41" s="140" t="n">
        <f aca="false">SUM(J112:J114)/SUM($H112:$H114)</f>
        <v>30.6</v>
      </c>
      <c r="D41" s="140" t="n">
        <f aca="false">SUM(K112:K114)/SUM($H112:$H114)</f>
        <v>40.3478247247395</v>
      </c>
      <c r="F41" s="140" t="n">
        <f aca="false">SUM(L112:L114)/SUM($H112:$H114)</f>
        <v>56.5537359031647</v>
      </c>
      <c r="H41" s="140" t="n">
        <f aca="false">SUM(M112:M114)/SUM($H112:$H114)</f>
        <v>45.7857483179563</v>
      </c>
      <c r="K41" s="140" t="n">
        <f aca="false">SUM(N112:N114)/SUM($H112:$H114)</f>
        <v>3.63689619956043</v>
      </c>
      <c r="M41" s="140" t="n">
        <f aca="false">SUM(O112:O114)/SUM($H112:$H114)</f>
        <v>96.9172734927312</v>
      </c>
      <c r="N41" s="140" t="n">
        <f aca="false">SUM(P112:P114)/SUM($H112:$H114)</f>
        <v>74.6958925975623</v>
      </c>
    </row>
    <row r="42" customFormat="false" ht="12.75" hidden="false" customHeight="false" outlineLevel="0" collapsed="false">
      <c r="A42" s="0" t="s">
        <v>280</v>
      </c>
      <c r="B42" s="140" t="n">
        <f aca="false">SUM(J115:J117)/SUM($H115:$H117)</f>
        <v>32.6350835940948</v>
      </c>
      <c r="D42" s="140" t="n">
        <f aca="false">SUM(K115:K117)/SUM($H115:$H117)</f>
        <v>40.8</v>
      </c>
      <c r="F42" s="140" t="n">
        <f aca="false">SUM(L115:L117)/SUM($H115:$H117)</f>
        <v>58.506975933585</v>
      </c>
      <c r="H42" s="140" t="n">
        <f aca="false">SUM(M115:M117)/SUM($H115:$H117)</f>
        <v>47.2927913485885</v>
      </c>
      <c r="K42" s="140" t="n">
        <f aca="false">SUM(N115:N117)/SUM($H115:$H117)</f>
        <v>3.76250649090579</v>
      </c>
      <c r="M42" s="140" t="n">
        <f aca="false">SUM(O115:O117)/SUM($H115:$H117)</f>
        <v>66.5236605196664</v>
      </c>
      <c r="N42" s="140" t="n">
        <f aca="false">SUM(P115:P117)/SUM($H115:$H117)</f>
        <v>56.8651306732032</v>
      </c>
    </row>
    <row r="43" customFormat="false" ht="12.75" hidden="false" customHeight="false" outlineLevel="0" collapsed="false">
      <c r="A43" s="0" t="s">
        <v>281</v>
      </c>
      <c r="B43" s="140" t="n">
        <f aca="false">SUM(J118:J120)/SUM($H118:$H120)</f>
        <v>32.60253137613</v>
      </c>
      <c r="D43" s="140" t="n">
        <f aca="false">SUM(K118:K120)/SUM($H118:$H120)</f>
        <v>39.3634372848247</v>
      </c>
      <c r="F43" s="140" t="n">
        <f aca="false">SUM(L118:L120)/SUM($H118:$H120)</f>
        <v>56.6779986757172</v>
      </c>
      <c r="H43" s="140" t="n">
        <f aca="false">SUM(M118:M120)/SUM($H118:$H120)</f>
        <v>46.0073026358959</v>
      </c>
      <c r="K43" s="140" t="n">
        <f aca="false">SUM(N118:N120)/SUM($H118:$H120)</f>
        <v>3.72881570234982</v>
      </c>
      <c r="M43" s="140" t="n">
        <f aca="false">SUM(O118:O120)/SUM($H118:$H120)</f>
        <v>42.4909927375346</v>
      </c>
      <c r="N43" s="140" t="n">
        <f aca="false">SUM(P118:P120)/SUM($H118:$H120)</f>
        <v>39.3064540903348</v>
      </c>
    </row>
    <row r="44" customFormat="false" ht="12.75" hidden="false" customHeight="false" outlineLevel="0" collapsed="false">
      <c r="A44" s="0" t="s">
        <v>282</v>
      </c>
      <c r="B44" s="140" t="n">
        <f aca="false">SUM(J121:J124)/SUM($H121:$H124)</f>
        <v>32.121420346067</v>
      </c>
      <c r="D44" s="140" t="n">
        <f aca="false">SUM(K121:K124)/SUM($H121:$H124)</f>
        <v>39.1957587328469</v>
      </c>
      <c r="F44" s="140" t="n">
        <f aca="false">SUM(L121:L124)/SUM($H121:$H124)</f>
        <v>49.4873137583223</v>
      </c>
      <c r="H44" s="140" t="n">
        <f aca="false">SUM(M121:M124)/SUM($H121:$H124)</f>
        <v>42.4415941232226</v>
      </c>
      <c r="K44" s="140" t="n">
        <f aca="false">SUM(N121:N124)/SUM($H121:$H124)</f>
        <v>3.25574432620541</v>
      </c>
      <c r="M44" s="140" t="n">
        <f aca="false">SUM(O121:O124)/SUM($H121:$H124)</f>
        <v>49.3691801211629</v>
      </c>
      <c r="N44" s="140" t="n">
        <f aca="false">SUM(P121:P124)/SUM($H121:$H124)</f>
        <v>37.5325332795699</v>
      </c>
    </row>
    <row r="45" customFormat="false" ht="12.75" hidden="false" customHeight="false" outlineLevel="0" collapsed="false">
      <c r="A45" s="0" t="s">
        <v>283</v>
      </c>
      <c r="B45" s="140" t="n">
        <f aca="false">SUM(J125:J127)/SUM($H125:$H127)</f>
        <v>31.212</v>
      </c>
      <c r="D45" s="140" t="n">
        <f aca="false">SUM(K125:K127)/SUM($H125:$H127)</f>
        <v>41.782872321786</v>
      </c>
      <c r="F45" s="140" t="n">
        <f aca="false">SUM(L125:L127)/SUM($H125:$H127)</f>
        <v>50.6403476321382</v>
      </c>
      <c r="H45" s="140" t="n">
        <f aca="false">SUM(M125:M127)/SUM($H125:$H127)</f>
        <v>43.4920269674499</v>
      </c>
      <c r="K45" s="140" t="n">
        <f aca="false">SUM(N125:N127)/SUM($H125:$H127)</f>
        <v>3.33160181790383</v>
      </c>
      <c r="M45" s="140" t="n">
        <f aca="false">SUM(O125:O127)/SUM($H125:$H127)</f>
        <v>81.1301491748793</v>
      </c>
      <c r="N45" s="140" t="n">
        <f aca="false">SUM(P125:P127)/SUM($H125:$H127)</f>
        <v>64.4459497898338</v>
      </c>
    </row>
    <row r="46" customFormat="false" ht="12.75" hidden="false" customHeight="false" outlineLevel="0" collapsed="false">
      <c r="A46" s="0" t="s">
        <v>284</v>
      </c>
      <c r="B46" s="140" t="n">
        <f aca="false">SUM(J128:J130)/SUM($H128:$H130)</f>
        <v>34.5609521305277</v>
      </c>
      <c r="D46" s="140" t="n">
        <f aca="false">SUM(K128:K130)/SUM($H128:$H130)</f>
        <v>41.364092340477</v>
      </c>
      <c r="F46" s="140" t="n">
        <f aca="false">SUM(L128:L130)/SUM($H128:$H130)</f>
        <v>54.2195262872495</v>
      </c>
      <c r="H46" s="140" t="n">
        <f aca="false">SUM(M128:M130)/SUM($H128:$H130)</f>
        <v>45.8339953644579</v>
      </c>
      <c r="K46" s="140" t="n">
        <f aca="false">SUM(N128:N130)/SUM($H128:$H130)</f>
        <v>3.57109365759569</v>
      </c>
      <c r="M46" s="140" t="n">
        <f aca="false">SUM(O128:O130)/SUM($H128:$H130)</f>
        <v>49.4710327853368</v>
      </c>
      <c r="N46" s="140" t="n">
        <f aca="false">SUM(P128:P130)/SUM($H128:$H130)</f>
        <v>42.900861344581</v>
      </c>
    </row>
    <row r="47" customFormat="false" ht="12.75" hidden="false" customHeight="false" outlineLevel="0" collapsed="false">
      <c r="A47" s="0" t="s">
        <v>285</v>
      </c>
      <c r="B47" s="140" t="n">
        <f aca="false">SUM(J131:J133)/SUM($H131:$H133)</f>
        <v>32.0140122433157</v>
      </c>
      <c r="D47" s="140" t="n">
        <f aca="false">SUM(K131:K133)/SUM($H131:$H133)</f>
        <v>39.7953</v>
      </c>
      <c r="F47" s="140" t="n">
        <f aca="false">SUM(L131:L133)/SUM($H131:$H133)</f>
        <v>53.7666052021934</v>
      </c>
      <c r="H47" s="140" t="n">
        <f aca="false">SUM(M131:M133)/SUM($H131:$H133)</f>
        <v>44.6561717011577</v>
      </c>
      <c r="K47" s="140" t="n">
        <f aca="false">SUM(N131:N133)/SUM($H131:$H133)</f>
        <v>3.54895083842861</v>
      </c>
      <c r="M47" s="140" t="n">
        <f aca="false">SUM(O131:O133)/SUM($H131:$H133)</f>
        <v>34.0025920767661</v>
      </c>
      <c r="N47" s="140" t="n">
        <f aca="false">SUM(P131:P133)/SUM($H131:$H133)</f>
        <v>30.6880616801024</v>
      </c>
    </row>
    <row r="48" customFormat="false" ht="12.75" hidden="false" customHeight="false" outlineLevel="0" collapsed="false">
      <c r="A48" s="0" t="s">
        <v>286</v>
      </c>
      <c r="B48" s="140" t="n">
        <f aca="false">SUM(J134:J136)/SUM($H134:$H136)</f>
        <v>33.2546610790296</v>
      </c>
      <c r="D48" s="140" t="n">
        <f aca="false">SUM(K134:K136)/SUM($H134:$H136)</f>
        <v>40.0416982223396</v>
      </c>
      <c r="F48" s="140" t="n">
        <f aca="false">SUM(L134:L136)/SUM($H134:$H136)</f>
        <v>51.9352581674945</v>
      </c>
      <c r="H48" s="140" t="n">
        <f aca="false">SUM(M134:M136)/SUM($H134:$H136)</f>
        <v>44.0465490920976</v>
      </c>
      <c r="K48" s="140" t="n">
        <f aca="false">SUM(N134:N136)/SUM($H134:$H136)</f>
        <v>3.42806984603924</v>
      </c>
      <c r="M48" s="140" t="n">
        <f aca="false">SUM(O134:O136)/SUM($H134:$H136)</f>
        <v>46.5839297409253</v>
      </c>
      <c r="N48" s="140" t="n">
        <f aca="false">SUM(P134:P136)/SUM($H134:$H136)</f>
        <v>33.3244050722568</v>
      </c>
    </row>
    <row r="49" customFormat="false" ht="12.75" hidden="false" customHeight="false" outlineLevel="0" collapsed="false">
      <c r="A49" s="0" t="s">
        <v>287</v>
      </c>
      <c r="B49" s="140" t="n">
        <f aca="false">SUM(J137:J139)/SUM($H137:$H139)</f>
        <v>31.83624</v>
      </c>
      <c r="D49" s="140" t="n">
        <f aca="false">SUM(K137:K139)/SUM($H137:$H139)</f>
        <v>42.6185307850754</v>
      </c>
      <c r="F49" s="140" t="n">
        <f aca="false">SUM(L137:L139)/SUM($H137:$H139)</f>
        <v>52.4829531396076</v>
      </c>
      <c r="H49" s="140" t="n">
        <f aca="false">SUM(M137:M139)/SUM($H137:$H139)</f>
        <v>44.7222608908543</v>
      </c>
      <c r="K49" s="140" t="n">
        <f aca="false">SUM(N137:N139)/SUM($H137:$H139)</f>
        <v>3.46422132934704</v>
      </c>
      <c r="M49" s="140" t="n">
        <f aca="false">SUM(O137:O139)/SUM($H137:$H139)</f>
        <v>74.6788210792588</v>
      </c>
      <c r="N49" s="140" t="n">
        <f aca="false">SUM(P137:P139)/SUM($H137:$H139)</f>
        <v>58.4693928017769</v>
      </c>
    </row>
    <row r="50" customFormat="false" ht="12.75" hidden="false" customHeight="false" outlineLevel="0" collapsed="false">
      <c r="A50" s="0" t="s">
        <v>288</v>
      </c>
      <c r="B50" s="140" t="n">
        <f aca="false">SUM(J140:J142)/SUM($H140:$H142)</f>
        <v>35.2521683463964</v>
      </c>
      <c r="D50" s="140" t="n">
        <f aca="false">SUM(K140:K142)/SUM($H140:$H142)</f>
        <v>42.1913773138343</v>
      </c>
      <c r="F50" s="140" t="n">
        <f aca="false">SUM(L140:L142)/SUM($H140:$H142)</f>
        <v>57.5091107663209</v>
      </c>
      <c r="H50" s="140" t="n">
        <f aca="false">SUM(M140:M142)/SUM($H140:$H142)</f>
        <v>47.8141130021769</v>
      </c>
      <c r="K50" s="140" t="n">
        <f aca="false">SUM(N140:N142)/SUM($H140:$H142)</f>
        <v>3.8003362961973</v>
      </c>
      <c r="M50" s="140" t="n">
        <f aca="false">SUM(O140:O142)/SUM($H140:$H142)</f>
        <v>43.4760237443508</v>
      </c>
      <c r="N50" s="140" t="n">
        <f aca="false">SUM(P140:P142)/SUM($H140:$H142)</f>
        <v>37.6499294289659</v>
      </c>
    </row>
    <row r="51" customFormat="false" ht="12.75" hidden="false" customHeight="false" outlineLevel="0" collapsed="false">
      <c r="A51" s="0" t="s">
        <v>289</v>
      </c>
      <c r="B51" s="140" t="n">
        <f aca="false">SUM(J143:J145)/SUM($H143:$H145)</f>
        <v>32.6543045877927</v>
      </c>
      <c r="D51" s="140" t="n">
        <f aca="false">SUM(K143:K145)/SUM($H143:$H145)</f>
        <v>40.591206</v>
      </c>
      <c r="F51" s="140" t="n">
        <f aca="false">SUM(L143:L145)/SUM($H143:$H145)</f>
        <v>54.6820490168657</v>
      </c>
      <c r="H51" s="140" t="n">
        <f aca="false">SUM(M143:M145)/SUM($H143:$H145)</f>
        <v>45.4578332488553</v>
      </c>
      <c r="K51" s="140" t="n">
        <f aca="false">SUM(N143:N145)/SUM($H143:$H145)</f>
        <v>3.6213277494613</v>
      </c>
      <c r="M51" s="140" t="n">
        <f aca="false">SUM(O143:O145)/SUM($H143:$H145)</f>
        <v>29.1038169157723</v>
      </c>
      <c r="N51" s="140" t="n">
        <f aca="false">SUM(P143:P145)/SUM($H143:$H145)</f>
        <v>26.4524926030914</v>
      </c>
    </row>
    <row r="52" customFormat="false" ht="12.75" hidden="false" customHeight="false" outlineLevel="0" collapsed="false">
      <c r="A52" s="0" t="s">
        <v>290</v>
      </c>
      <c r="B52" s="140" t="n">
        <f aca="false">SUM(J146:J148)/SUM($H146:$H148)</f>
        <v>33.9197317899824</v>
      </c>
      <c r="D52" s="140" t="n">
        <f aca="false">SUM(K146:K148)/SUM($H146:$H148)</f>
        <v>40.8425400655062</v>
      </c>
      <c r="F52" s="140" t="n">
        <f aca="false">SUM(L146:L148)/SUM($H146:$H148)</f>
        <v>51.3211312027274</v>
      </c>
      <c r="H52" s="140" t="n">
        <f aca="false">SUM(M146:M148)/SUM($H146:$H148)</f>
        <v>44.1558880095628</v>
      </c>
      <c r="K52" s="140" t="n">
        <f aca="false">SUM(N146:N148)/SUM($H146:$H148)</f>
        <v>3.39875041077665</v>
      </c>
      <c r="M52" s="140" t="n">
        <f aca="false">SUM(O146:O148)/SUM($H146:$H148)</f>
        <v>41.8121364039161</v>
      </c>
      <c r="N52" s="140" t="n">
        <f aca="false">SUM(P146:P148)/SUM($H146:$H148)</f>
        <v>29.0960748293277</v>
      </c>
    </row>
    <row r="53" customFormat="false" ht="12.75" hidden="false" customHeight="false" outlineLevel="0" collapsed="false">
      <c r="A53" s="0" t="s">
        <v>291</v>
      </c>
      <c r="B53" s="140" t="n">
        <f aca="false">SUM(J149:J151)/SUM($H149:$H151)</f>
        <v>32.4729648</v>
      </c>
      <c r="D53" s="140" t="n">
        <f aca="false">SUM(K149:K151)/SUM($H149:$H151)</f>
        <v>43.4708920179018</v>
      </c>
      <c r="F53" s="140" t="n">
        <f aca="false">SUM(L149:L151)/SUM($H149:$H151)</f>
        <v>51.8612506413072</v>
      </c>
      <c r="H53" s="140" t="n">
        <f aca="false">SUM(M149:M151)/SUM($H149:$H151)</f>
        <v>44.8498138417834</v>
      </c>
      <c r="K53" s="140" t="n">
        <f aca="false">SUM(N149:N151)/SUM($H149:$H151)</f>
        <v>3.43451991002034</v>
      </c>
      <c r="M53" s="140" t="n">
        <f aca="false">SUM(O149:O151)/SUM($H149:$H151)</f>
        <v>69.6548851609306</v>
      </c>
      <c r="N53" s="140" t="n">
        <f aca="false">SUM(P149:P151)/SUM($H149:$H151)</f>
        <v>54.2974752108383</v>
      </c>
    </row>
    <row r="54" customFormat="false" ht="12.75" hidden="false" customHeight="false" outlineLevel="0" collapsed="false">
      <c r="A54" s="0" t="s">
        <v>292</v>
      </c>
      <c r="B54" s="140" t="n">
        <f aca="false">SUM(J152:J154)/SUM($H152:$H154)</f>
        <v>35.9572370606579</v>
      </c>
      <c r="D54" s="140" t="n">
        <f aca="false">SUM(K152:K154)/SUM($H152:$H154)</f>
        <v>43.0351768244238</v>
      </c>
      <c r="F54" s="140" t="n">
        <f aca="false">SUM(L152:L154)/SUM($H152:$H154)</f>
        <v>55.5962309335391</v>
      </c>
      <c r="H54" s="140" t="n">
        <f aca="false">SUM(M152:M154)/SUM($H152:$H154)</f>
        <v>47.2444856256319</v>
      </c>
      <c r="K54" s="140" t="n">
        <f aca="false">SUM(N152:N154)/SUM($H152:$H154)</f>
        <v>3.68186959824762</v>
      </c>
      <c r="M54" s="140" t="n">
        <f aca="false">SUM(O152:O154)/SUM($H152:$H154)</f>
        <v>43.7853619790924</v>
      </c>
      <c r="N54" s="140" t="n">
        <f aca="false">SUM(P152:P154)/SUM($H152:$H154)</f>
        <v>37.747454772023</v>
      </c>
    </row>
    <row r="55" customFormat="false" ht="12.75" hidden="false" customHeight="false" outlineLevel="0" collapsed="false">
      <c r="B55" s="140"/>
      <c r="D55" s="140"/>
      <c r="F55" s="140"/>
      <c r="H55" s="140"/>
      <c r="K55" s="140"/>
      <c r="M55" s="140"/>
      <c r="N55" s="140"/>
    </row>
    <row r="56" customFormat="false" ht="12.75" hidden="false" customHeight="false" outlineLevel="0" collapsed="false">
      <c r="B56" s="140"/>
      <c r="D56" s="140"/>
      <c r="F56" s="140"/>
      <c r="H56" s="140"/>
      <c r="K56" s="140"/>
      <c r="M56" s="140"/>
      <c r="N56" s="140"/>
    </row>
    <row r="57" customFormat="false" ht="12.75" hidden="false" customHeight="false" outlineLevel="0" collapsed="false">
      <c r="B57" s="140"/>
      <c r="D57" s="140"/>
      <c r="F57" s="140"/>
      <c r="H57" s="140"/>
      <c r="K57" s="140"/>
      <c r="M57" s="140"/>
      <c r="N57" s="140"/>
    </row>
    <row r="58" customFormat="false" ht="12.75" hidden="false" customHeight="false" outlineLevel="0" collapsed="false">
      <c r="A58" s="145" t="s">
        <v>293</v>
      </c>
      <c r="B58" s="140" t="n">
        <f aca="false">SUM(J82:J93)/SUM($H82:$H93)</f>
        <v>32.5090482306759</v>
      </c>
      <c r="D58" s="140" t="n">
        <f aca="false">SUM(K82:K93)/SUM($H82:$H93)</f>
        <v>40.1478376544888</v>
      </c>
      <c r="F58" s="140" t="n">
        <f aca="false">SUM(L82:L93)/SUM($H82:$H93)</f>
        <v>67.3763813946711</v>
      </c>
      <c r="H58" s="140" t="n">
        <f aca="false">SUM(M82:M93)/SUM($H82:$H93)</f>
        <v>51.755629199891</v>
      </c>
      <c r="K58" s="140" t="n">
        <f aca="false">SUM(N82:N93)/SUM($H82:$H93)</f>
        <v>5.10752064371456</v>
      </c>
      <c r="M58" s="140" t="n">
        <f aca="false">SUM(O82:O93)/SUM($H82:$H93)</f>
        <v>99.6930029529214</v>
      </c>
      <c r="N58" s="140" t="e">
        <f aca="false">SUM(P82:P93)/SUM($H82:$H93)</f>
        <v>#REF!</v>
      </c>
    </row>
    <row r="59" customFormat="false" ht="12.75" hidden="false" customHeight="false" outlineLevel="0" collapsed="false">
      <c r="A59" s="145" t="s">
        <v>294</v>
      </c>
      <c r="B59" s="140" t="n">
        <f aca="false">SUM(J94:J105)/(SUM($H94:$H105))</f>
        <v>31.1221167383573</v>
      </c>
      <c r="D59" s="140" t="n">
        <f aca="false">SUM(K94:K105)/(SUM($H94:$H105))</f>
        <v>38.7151896602995</v>
      </c>
      <c r="F59" s="140" t="n">
        <f aca="false">SUM(L94:L105)/(SUM($H94:$H105))</f>
        <v>80.0989504985656</v>
      </c>
      <c r="H59" s="140" t="n">
        <f aca="false">SUM(M94:M105)/(SUM($H94:$H105))</f>
        <v>56.6525155121848</v>
      </c>
      <c r="I59" s="54" t="n">
        <f aca="false">H59+3.5</f>
        <v>60.1525155121848</v>
      </c>
      <c r="J59" s="54" t="n">
        <f aca="false">F59+3.5</f>
        <v>83.5989504985656</v>
      </c>
      <c r="K59" s="140" t="n">
        <f aca="false">SUM(N94:N105)/(SUM($H94:$H105))</f>
        <v>4.57708288563232</v>
      </c>
      <c r="M59" s="140" t="n">
        <f aca="false">SUM(O94:O105)/(SUM($H94:$H105))</f>
        <v>78.203509245306</v>
      </c>
      <c r="N59" s="140" t="n">
        <f aca="false">SUM(P94:P105)/(SUM($H94:$H105))</f>
        <v>64.2293416025421</v>
      </c>
    </row>
    <row r="60" customFormat="false" ht="12.75" hidden="false" customHeight="false" outlineLevel="0" collapsed="false">
      <c r="A60" s="145" t="s">
        <v>295</v>
      </c>
      <c r="B60" s="140" t="n">
        <f aca="false">SUM(J106:J117)/SUM($H106:$H117)</f>
        <v>31.7443313959071</v>
      </c>
      <c r="D60" s="140" t="n">
        <f aca="false">SUM(K106:K117)/SUM($H106:$H117)</f>
        <v>39.4835299182749</v>
      </c>
      <c r="F60" s="140" t="n">
        <f aca="false">SUM(L106:L117)/SUM($H106:$H117)</f>
        <v>60.0613216864289</v>
      </c>
      <c r="H60" s="140" t="n">
        <f aca="false">SUM(M106:M117)/SUM($H106:$H117)</f>
        <v>47.45101070395</v>
      </c>
      <c r="K60" s="140" t="n">
        <f aca="false">SUM(N106:N117)/SUM($H106:$H117)</f>
        <v>3.86246441713369</v>
      </c>
      <c r="M60" s="140" t="n">
        <f aca="false">SUM(O106:O117)/SUM($H106:$H117)</f>
        <v>66.0374520715905</v>
      </c>
      <c r="N60" s="140" t="n">
        <f aca="false">SUM(P106:P117)/SUM($H106:$H117)</f>
        <v>54.4908122801304</v>
      </c>
    </row>
    <row r="61" customFormat="false" ht="12.75" hidden="false" customHeight="false" outlineLevel="0" collapsed="false">
      <c r="A61" s="145" t="s">
        <v>296</v>
      </c>
      <c r="B61" s="140" t="n">
        <f aca="false">SUM(J118:J129)/SUM($H118:$H129)</f>
        <v>32.3793983999217</v>
      </c>
      <c r="D61" s="140" t="n">
        <f aca="false">SUM(K118:K129)/SUM($H118:$H129)</f>
        <v>40.2710551280913</v>
      </c>
      <c r="F61" s="140" t="n">
        <f aca="false">SUM(L118:L129)/SUM($H118:$H129)</f>
        <v>52.2497067974975</v>
      </c>
      <c r="H61" s="140" t="n">
        <f aca="false">SUM(M118:M129)/SUM($H118:$H129)</f>
        <v>44.1055040070891</v>
      </c>
      <c r="K61" s="140" t="n">
        <f aca="false">SUM(N118:N129)/SUM($H118:$H129)</f>
        <v>3.43748071036167</v>
      </c>
      <c r="M61" s="140" t="n">
        <f aca="false">SUM(O118:O129)/SUM($H118:$H129)</f>
        <v>56.3230532549994</v>
      </c>
      <c r="N61" s="140" t="n">
        <f aca="false">SUM(P118:P129)/SUM($H118:$H129)</f>
        <v>46.0803569519577</v>
      </c>
    </row>
    <row r="62" customFormat="false" ht="12.75" hidden="false" customHeight="false" outlineLevel="0" collapsed="false">
      <c r="A62" s="145" t="s">
        <v>297</v>
      </c>
      <c r="B62" s="140" t="n">
        <f aca="false">SUM(J130:J141)/SUM($H130:$H141)</f>
        <v>33.0270217488565</v>
      </c>
      <c r="D62" s="140" t="n">
        <f aca="false">SUM(K130:K141)/SUM($H130:$H141)</f>
        <v>41.0762238513949</v>
      </c>
      <c r="F62" s="140" t="n">
        <f aca="false">SUM(L130:L141)/SUM($H130:$H141)</f>
        <v>53.5670138283034</v>
      </c>
      <c r="H62" s="140" t="n">
        <f aca="false">SUM(M130:M141)/SUM($H130:$H141)</f>
        <v>45.1286542617837</v>
      </c>
      <c r="K62" s="140" t="n">
        <f aca="false">SUM(N130:N141)/SUM($H130:$H141)</f>
        <v>3.53577649031705</v>
      </c>
      <c r="M62" s="140" t="n">
        <f aca="false">SUM(O130:O141)/SUM($H130:$H141)</f>
        <v>49.926193897412</v>
      </c>
      <c r="N62" s="140" t="n">
        <f aca="false">SUM(P130:P141)/SUM($H130:$H141)</f>
        <v>40.284049568982</v>
      </c>
    </row>
    <row r="63" customFormat="false" ht="12.75" hidden="false" customHeight="false" outlineLevel="0" collapsed="false">
      <c r="A63" s="145" t="s">
        <v>298</v>
      </c>
      <c r="B63" s="140" t="n">
        <f aca="false">SUM(J142:J153)/SUM($H142:$H153)</f>
        <v>33.687645795824</v>
      </c>
      <c r="D63" s="140" t="n">
        <f aca="false">SUM(K142:K153)/SUM($H142:$H153)</f>
        <v>41.897981547317</v>
      </c>
      <c r="F63" s="140" t="n">
        <f aca="false">SUM(L142:L153)/SUM($H142:$H153)</f>
        <v>53.5257259723191</v>
      </c>
      <c r="H63" s="140" t="n">
        <f aca="false">SUM(M142:M153)/SUM($H142:$H153)</f>
        <v>45.457367884261</v>
      </c>
      <c r="K63" s="140" t="n">
        <f aca="false">SUM(N142:N153)/SUM($H142:$H153)</f>
        <v>3.54475006439199</v>
      </c>
      <c r="M63" s="140" t="n">
        <f aca="false">SUM(O142:O153)/SUM($H142:$H153)</f>
        <v>45.0068327842917</v>
      </c>
      <c r="N63" s="140" t="n">
        <f aca="false">SUM(P142:P153)/SUM($H142:$H153)</f>
        <v>36.0434909477075</v>
      </c>
    </row>
    <row r="64" customFormat="false" ht="12.75" hidden="false" customHeight="false" outlineLevel="0" collapsed="false">
      <c r="A64" s="145"/>
      <c r="B64" s="202"/>
      <c r="C64" s="145"/>
      <c r="D64" s="202"/>
      <c r="E64" s="145"/>
      <c r="F64" s="202"/>
      <c r="G64" s="145"/>
      <c r="H64" s="202"/>
      <c r="K64" s="202"/>
      <c r="M64" s="202"/>
      <c r="N64" s="202"/>
    </row>
    <row r="65" customFormat="false" ht="12.75" hidden="false" customHeight="false" outlineLevel="0" collapsed="false">
      <c r="A65" s="145" t="s">
        <v>299</v>
      </c>
      <c r="B65" s="140" t="n">
        <f aca="false">SUM(J86:J121)/SUM($H86:$H121)</f>
        <v>31.7285499956192</v>
      </c>
      <c r="D65" s="140" t="n">
        <f aca="false">SUM(K86:K121)/SUM($H86:$H121)</f>
        <v>39.2829869730345</v>
      </c>
      <c r="F65" s="140" t="n">
        <f aca="false">SUM(L86:L121)/SUM($H86:$H121)</f>
        <v>67.7045479826287</v>
      </c>
      <c r="H65" s="140" t="n">
        <f aca="false">SUM(M86:M121)/SUM($H86:$H121)</f>
        <v>51.0208552424511</v>
      </c>
      <c r="J65" s="140"/>
      <c r="K65" s="140" t="n">
        <f aca="false">SUM(N86:N121)/SUM($H86:$H121)</f>
        <v>4.33402035915535</v>
      </c>
      <c r="M65" s="140" t="n">
        <f aca="false">SUM(O86:O121)/SUM($H86:$H121)</f>
        <v>73.9568370439903</v>
      </c>
      <c r="N65" s="140" t="n">
        <f aca="false">SUM(P86:P121)/SUM($H86:$H121)</f>
        <v>62.0953041961598</v>
      </c>
    </row>
    <row r="66" customFormat="false" ht="12.75" hidden="false" customHeight="false" outlineLevel="0" collapsed="false">
      <c r="A66" s="145" t="s">
        <v>300</v>
      </c>
      <c r="B66" s="140" t="n">
        <f aca="false">SUM(J88:J147)/SUM($H$88:$H$147)</f>
        <v>32.2552290253691</v>
      </c>
      <c r="D66" s="140" t="n">
        <f aca="false">SUM(K88:K147)/SUM($H$88:$H$147)</f>
        <v>39.8999473164691</v>
      </c>
      <c r="F66" s="140" t="n">
        <f aca="false">SUM(L88:L147)/SUM($H$88:$H$147)</f>
        <v>61.8399798407065</v>
      </c>
      <c r="H66" s="140" t="n">
        <f aca="false">SUM(M88:M147)/SUM($H$88:$H$147)</f>
        <v>48.5310772023631</v>
      </c>
      <c r="J66" s="140"/>
      <c r="K66" s="140" t="n">
        <f aca="false">SUM(N88:N147)/SUM($H$88:$H$147)</f>
        <v>3.99029352813817</v>
      </c>
      <c r="M66" s="140"/>
      <c r="N66" s="140"/>
    </row>
    <row r="67" customFormat="false" ht="12.75" hidden="false" customHeight="false" outlineLevel="0" collapsed="false">
      <c r="A67" s="145" t="s">
        <v>301</v>
      </c>
      <c r="B67" s="140" t="n">
        <f aca="false">SUM(J94:J153)/SUM($H$94:$H$153)</f>
        <v>32.3229461710893</v>
      </c>
      <c r="D67" s="140" t="n">
        <f aca="false">SUM(K94:K153)/SUM($H$94:$H$153)</f>
        <v>40.2029800528894</v>
      </c>
      <c r="F67" s="140" t="n">
        <f aca="false">SUM(L94:L153)/SUM($H$94:$H$153)</f>
        <v>60.5229806666808</v>
      </c>
      <c r="H67" s="140" t="n">
        <f aca="false">SUM(M94:M153)/SUM($H$94:$H$153)</f>
        <v>48.0156235024432</v>
      </c>
      <c r="I67" s="54" t="n">
        <f aca="false">H67+3.5</f>
        <v>51.5156235024432</v>
      </c>
      <c r="J67" s="140" t="n">
        <f aca="false">F67+3.5</f>
        <v>64.0229806666808</v>
      </c>
      <c r="K67" s="140" t="n">
        <f aca="false">SUM(N94:N153)/SUM($H$94:$H$153)</f>
        <v>3.81654289513359</v>
      </c>
      <c r="M67" s="140"/>
      <c r="N67" s="140"/>
    </row>
    <row r="68" customFormat="false" ht="12.75" hidden="false" customHeight="false" outlineLevel="0" collapsed="false">
      <c r="A68" s="145"/>
      <c r="B68" s="140"/>
      <c r="D68" s="140"/>
      <c r="F68" s="140"/>
      <c r="H68" s="140"/>
      <c r="J68" s="140"/>
      <c r="K68" s="140"/>
      <c r="M68" s="140"/>
      <c r="N68" s="140"/>
    </row>
    <row r="70" customFormat="false" ht="15.75" hidden="false" customHeight="false" outlineLevel="0" collapsed="false">
      <c r="A70" s="193" t="s">
        <v>302</v>
      </c>
    </row>
    <row r="72" customFormat="false" ht="15" hidden="false" customHeight="false" outlineLevel="0" collapsed="false">
      <c r="A72" s="203" t="s">
        <v>303</v>
      </c>
    </row>
    <row r="74" customFormat="false" ht="12.75" hidden="false" customHeight="false" outlineLevel="0" collapsed="false">
      <c r="A74" s="0" t="s">
        <v>304</v>
      </c>
    </row>
    <row r="75" customFormat="false" ht="14.25" hidden="false" customHeight="false" outlineLevel="0" collapsed="false">
      <c r="A75" s="204" t="s">
        <v>223</v>
      </c>
      <c r="B75" s="68" t="n">
        <v>0.8</v>
      </c>
    </row>
    <row r="76" customFormat="false" ht="14.25" hidden="false" customHeight="false" outlineLevel="0" collapsed="false">
      <c r="A76" s="204" t="s">
        <v>305</v>
      </c>
      <c r="B76" s="68" t="n">
        <v>0.75</v>
      </c>
    </row>
    <row r="78" customFormat="false" ht="12.75" hidden="false" customHeight="false" outlineLevel="0" collapsed="false">
      <c r="A78" s="61" t="s">
        <v>306</v>
      </c>
      <c r="B78" s="61"/>
      <c r="C78" s="54"/>
      <c r="D78" s="205"/>
      <c r="E78" s="205"/>
      <c r="F78" s="61"/>
      <c r="G78" s="61"/>
      <c r="H78" s="61" t="s">
        <v>307</v>
      </c>
      <c r="I78" s="61"/>
      <c r="J78" s="61"/>
      <c r="K78" s="61"/>
      <c r="L78" s="61"/>
      <c r="M78" s="61"/>
      <c r="N78" s="61"/>
      <c r="O78" s="61"/>
    </row>
    <row r="79" customFormat="false" ht="15.75" hidden="false" customHeight="false" outlineLevel="0" collapsed="false">
      <c r="A79" s="193" t="s">
        <v>263</v>
      </c>
      <c r="B79" s="61" t="n">
        <v>1.5</v>
      </c>
      <c r="C79" s="54"/>
      <c r="D79" s="205"/>
      <c r="E79" s="205"/>
      <c r="F79" s="205"/>
      <c r="G79" s="61"/>
      <c r="H79" s="193" t="s">
        <v>263</v>
      </c>
      <c r="I79" s="61"/>
      <c r="J79" s="61"/>
      <c r="K79" s="61"/>
      <c r="L79" s="61"/>
      <c r="M79" s="61"/>
      <c r="N79" s="61"/>
      <c r="O79" s="61"/>
    </row>
    <row r="80" customFormat="false" ht="12.75" hidden="false" customHeight="false" outlineLevel="0" collapsed="false">
      <c r="A80" s="61"/>
      <c r="B80" s="61"/>
      <c r="C80" s="54"/>
      <c r="D80" s="205"/>
      <c r="E80" s="205"/>
      <c r="F80" s="205"/>
      <c r="G80" s="61"/>
      <c r="H80" s="61"/>
      <c r="I80" s="61"/>
      <c r="J80" s="61"/>
      <c r="K80" s="61"/>
      <c r="L80" s="61"/>
      <c r="M80" s="61"/>
      <c r="N80" s="61"/>
      <c r="O80" s="61"/>
    </row>
    <row r="81" customFormat="false" ht="12.75" hidden="false" customHeight="false" outlineLevel="0" collapsed="false">
      <c r="A81" s="0" t="s">
        <v>86</v>
      </c>
      <c r="B81" s="0" t="s">
        <v>308</v>
      </c>
      <c r="C81" s="0" t="s">
        <v>223</v>
      </c>
      <c r="D81" s="0" t="s">
        <v>305</v>
      </c>
      <c r="F81" s="0" t="s">
        <v>309</v>
      </c>
      <c r="G81" s="0" t="s">
        <v>310</v>
      </c>
      <c r="H81" s="61" t="s">
        <v>44</v>
      </c>
      <c r="I81" s="61" t="s">
        <v>311</v>
      </c>
      <c r="J81" s="0" t="s">
        <v>312</v>
      </c>
      <c r="K81" s="0" t="s">
        <v>313</v>
      </c>
      <c r="L81" s="0" t="s">
        <v>309</v>
      </c>
      <c r="M81" s="0" t="s">
        <v>310</v>
      </c>
      <c r="N81" s="61" t="s">
        <v>126</v>
      </c>
      <c r="O81" s="61" t="s">
        <v>266</v>
      </c>
      <c r="P81" s="61" t="s">
        <v>267</v>
      </c>
      <c r="Q81" s="61" t="s">
        <v>42</v>
      </c>
    </row>
    <row r="82" customFormat="false" ht="12.75" hidden="true" customHeight="false" outlineLevel="0" collapsed="false">
      <c r="A82" s="61" t="n">
        <v>36526</v>
      </c>
      <c r="B82" s="139" t="n">
        <v>30</v>
      </c>
      <c r="C82" s="139" t="n">
        <v>33.5</v>
      </c>
      <c r="D82" s="139"/>
      <c r="E82" s="139"/>
      <c r="F82" s="139" t="n">
        <v>59.3</v>
      </c>
      <c r="G82" s="191" t="n">
        <v>46.46</v>
      </c>
      <c r="H82" s="35" t="n">
        <f aca="false">external_curves!O13</f>
        <v>0</v>
      </c>
      <c r="I82" s="61"/>
      <c r="J82" s="139" t="n">
        <f aca="false">$H82*B82</f>
        <v>0</v>
      </c>
      <c r="K82" s="139" t="n">
        <f aca="false">$H82*C82</f>
        <v>0</v>
      </c>
      <c r="L82" s="139" t="n">
        <f aca="false">$H82*F82</f>
        <v>0</v>
      </c>
      <c r="M82" s="139" t="n">
        <f aca="false">$H82*G82</f>
        <v>0</v>
      </c>
      <c r="N82" s="139" t="n">
        <f aca="false">H82*[5]external_curves!J15</f>
        <v>0</v>
      </c>
      <c r="O82" s="139" t="n">
        <f aca="false">H82*external_curves!Q14</f>
        <v>0</v>
      </c>
      <c r="P82" s="139" t="e">
        <f aca="false">H82*external_curves!S14</f>
        <v>#REF!</v>
      </c>
      <c r="Q82" s="35" t="n">
        <f aca="false">H82*external_curves!M14</f>
        <v>0</v>
      </c>
    </row>
    <row r="83" customFormat="false" ht="12.75" hidden="true" customHeight="false" outlineLevel="0" collapsed="false">
      <c r="A83" s="61" t="n">
        <v>36557</v>
      </c>
      <c r="B83" s="191" t="n">
        <v>25.5</v>
      </c>
      <c r="C83" s="191" t="n">
        <v>30</v>
      </c>
      <c r="D83" s="191"/>
      <c r="E83" s="191"/>
      <c r="F83" s="139" t="n">
        <v>50.94</v>
      </c>
      <c r="G83" s="191" t="n">
        <v>47.07</v>
      </c>
      <c r="H83" s="35" t="n">
        <f aca="false">external_curves!O14</f>
        <v>0</v>
      </c>
      <c r="I83" s="61"/>
      <c r="J83" s="139" t="n">
        <f aca="false">$H83*B83</f>
        <v>0</v>
      </c>
      <c r="K83" s="139" t="n">
        <f aca="false">$H83*C83</f>
        <v>0</v>
      </c>
      <c r="L83" s="139" t="n">
        <f aca="false">$H83*F83</f>
        <v>0</v>
      </c>
      <c r="M83" s="139" t="n">
        <f aca="false">$H83*G83</f>
        <v>0</v>
      </c>
      <c r="N83" s="139" t="n">
        <f aca="false">H83*[5]external_curves!J16</f>
        <v>0</v>
      </c>
      <c r="O83" s="139" t="n">
        <f aca="false">H83*external_curves!Q15</f>
        <v>0</v>
      </c>
      <c r="P83" s="139" t="e">
        <f aca="false">H83*external_curves!S15</f>
        <v>#DIV/0!</v>
      </c>
      <c r="Q83" s="35" t="n">
        <f aca="false">H83*external_curves!M15</f>
        <v>0</v>
      </c>
    </row>
    <row r="84" customFormat="false" ht="12.75" hidden="true" customHeight="false" outlineLevel="0" collapsed="false">
      <c r="A84" s="61" t="n">
        <v>36586</v>
      </c>
      <c r="B84" s="191" t="n">
        <v>30</v>
      </c>
      <c r="C84" s="191" t="n">
        <v>41</v>
      </c>
      <c r="D84" s="191"/>
      <c r="E84" s="191"/>
      <c r="F84" s="139" t="n">
        <f aca="false">D6*external_curves!K16</f>
        <v>91.221375</v>
      </c>
      <c r="G84" s="139" t="n">
        <f aca="false">((F84*external_curves!AI16)+(Fwd_curves!B84*external_curves!AL16)+(Fwd_curves!C84*external_curves!AM16))/(external_curves!AH16)</f>
        <v>70.8400408737024</v>
      </c>
      <c r="H84" s="35" t="n">
        <f aca="false">external_curves!O16</f>
        <v>1</v>
      </c>
      <c r="I84" s="56" t="n">
        <f aca="false">F84/N84</f>
        <v>19.2045</v>
      </c>
      <c r="J84" s="139" t="n">
        <f aca="false">$H84*B84</f>
        <v>30</v>
      </c>
      <c r="K84" s="139" t="n">
        <f aca="false">$H84*C84</f>
        <v>41</v>
      </c>
      <c r="L84" s="139" t="n">
        <f aca="false">$H84*F84</f>
        <v>91.221375</v>
      </c>
      <c r="M84" s="139" t="n">
        <f aca="false">$H84*G84</f>
        <v>70.8400408737024</v>
      </c>
      <c r="N84" s="139" t="n">
        <f aca="false">H84*external_curves!K16</f>
        <v>4.75</v>
      </c>
      <c r="O84" s="139" t="n">
        <f aca="false">H84*external_curves!Q16</f>
        <v>115.614375</v>
      </c>
      <c r="P84" s="139" t="n">
        <f aca="false">H84*external_curves!S16</f>
        <v>102.951804849697</v>
      </c>
      <c r="Q84" s="35" t="n">
        <f aca="false">H84*external_curves!M16</f>
        <v>1.4775</v>
      </c>
    </row>
    <row r="85" customFormat="false" ht="12.75" hidden="true" customHeight="false" outlineLevel="0" collapsed="false">
      <c r="A85" s="61" t="n">
        <v>36617</v>
      </c>
      <c r="B85" s="191" t="n">
        <v>32.75</v>
      </c>
      <c r="C85" s="191" t="n">
        <v>44</v>
      </c>
      <c r="D85" s="191"/>
      <c r="E85" s="191"/>
      <c r="F85" s="139" t="n">
        <f aca="false">D7*external_curves!K16</f>
        <v>89.96025</v>
      </c>
      <c r="G85" s="139" t="n">
        <f aca="false">((F85*external_curves!AI16)+(Fwd_curves!B85*external_curves!AL16)+(Fwd_curves!C85*external_curves!AM16))/(external_curves!AH16)</f>
        <v>70.9134280565167</v>
      </c>
      <c r="H85" s="35" t="n">
        <f aca="false">external_curves!O16</f>
        <v>1</v>
      </c>
      <c r="I85" s="56" t="n">
        <f aca="false">F85/N85</f>
        <v>18.939</v>
      </c>
      <c r="J85" s="139" t="n">
        <f aca="false">$H85*B85</f>
        <v>32.75</v>
      </c>
      <c r="K85" s="139" t="n">
        <f aca="false">$H85*C85</f>
        <v>44</v>
      </c>
      <c r="L85" s="139" t="n">
        <f aca="false">$H85*F85</f>
        <v>89.96025</v>
      </c>
      <c r="M85" s="139" t="n">
        <f aca="false">$H85*G85</f>
        <v>70.9134280565167</v>
      </c>
      <c r="N85" s="139" t="n">
        <f aca="false">H85*external_curves!K16</f>
        <v>4.75</v>
      </c>
      <c r="O85" s="139" t="n">
        <f aca="false">H85*external_curves!Q16</f>
        <v>115.614375</v>
      </c>
      <c r="P85" s="139" t="n">
        <f aca="false">H85*external_curves!S16</f>
        <v>102.951804849697</v>
      </c>
      <c r="Q85" s="35" t="n">
        <f aca="false">H85*external_curves!M16</f>
        <v>1.4775</v>
      </c>
    </row>
    <row r="86" customFormat="false" ht="12.75" hidden="false" customHeight="false" outlineLevel="0" collapsed="false">
      <c r="A86" s="61" t="n">
        <v>36647</v>
      </c>
      <c r="B86" s="191" t="n">
        <v>28.2857142857143</v>
      </c>
      <c r="C86" s="191" t="n">
        <v>46</v>
      </c>
      <c r="D86" s="191"/>
      <c r="E86" s="191"/>
      <c r="F86" s="191" t="n">
        <v>53</v>
      </c>
      <c r="G86" s="139" t="n">
        <f aca="false">IF(swap_model!$B$37="Y",swap_model!B39,((F86*external_curves!AI16)+(Fwd_curves!B86*external_curves!AL16)+(Fwd_curves!C86*external_curves!AM16))/(external_curves!AH16))</f>
        <v>44.7608337452628</v>
      </c>
      <c r="H86" s="35" t="n">
        <f aca="false">external_curves!O16</f>
        <v>1</v>
      </c>
      <c r="I86" s="56" t="n">
        <f aca="false">F86/N86</f>
        <v>11.1578947368421</v>
      </c>
      <c r="J86" s="139" t="n">
        <f aca="false">$H86*B86</f>
        <v>28.2857142857143</v>
      </c>
      <c r="K86" s="139" t="n">
        <f aca="false">$H86*C86</f>
        <v>46</v>
      </c>
      <c r="L86" s="139" t="n">
        <f aca="false">$H86*F86</f>
        <v>53</v>
      </c>
      <c r="M86" s="139" t="n">
        <f aca="false">$H86*G86</f>
        <v>44.7608337452628</v>
      </c>
      <c r="N86" s="139" t="n">
        <f aca="false">H86*external_curves!K16</f>
        <v>4.75</v>
      </c>
      <c r="O86" s="139" t="n">
        <f aca="false">H86*external_curves!Q16</f>
        <v>115.614375</v>
      </c>
      <c r="P86" s="139" t="n">
        <f aca="false">H86*external_curves!S16</f>
        <v>102.951804849697</v>
      </c>
      <c r="Q86" s="35" t="n">
        <f aca="false">H86*external_curves!M16</f>
        <v>1.4775</v>
      </c>
    </row>
    <row r="87" customFormat="false" ht="12.75" hidden="false" customHeight="false" outlineLevel="0" collapsed="false">
      <c r="A87" s="61" t="n">
        <v>36678</v>
      </c>
      <c r="B87" s="191" t="n">
        <v>35</v>
      </c>
      <c r="C87" s="191" t="n">
        <v>42</v>
      </c>
      <c r="D87" s="191"/>
      <c r="E87" s="191"/>
      <c r="F87" s="191" t="n">
        <v>58.75</v>
      </c>
      <c r="G87" s="139" t="n">
        <f aca="false">IF(swap_model!$B$37="Y",swap_model!B40,((F87*external_curves!AI17)+(Fwd_curves!B87*external_curves!AL17)+(Fwd_curves!C87*external_curves!AM17))/(external_curves!AH17))</f>
        <v>48.4777777777778</v>
      </c>
      <c r="H87" s="35" t="n">
        <f aca="false">external_curves!O17</f>
        <v>1</v>
      </c>
      <c r="I87" s="56" t="n">
        <f aca="false">F87/N87</f>
        <v>12.1134020618557</v>
      </c>
      <c r="J87" s="139" t="n">
        <f aca="false">$H87*B87</f>
        <v>35</v>
      </c>
      <c r="K87" s="139" t="n">
        <f aca="false">$H87*C87</f>
        <v>42</v>
      </c>
      <c r="L87" s="139" t="n">
        <f aca="false">$H87*F87</f>
        <v>58.75</v>
      </c>
      <c r="M87" s="139" t="n">
        <f aca="false">$H87*G87</f>
        <v>48.4777777777778</v>
      </c>
      <c r="N87" s="139" t="n">
        <f aca="false">H87*external_curves!K17</f>
        <v>4.85</v>
      </c>
      <c r="O87" s="139" t="n">
        <f aca="false">H87*external_curves!Q17</f>
        <v>79.6302</v>
      </c>
      <c r="P87" s="139" t="n">
        <f aca="false">H87*external_curves!S17</f>
        <v>68.96856</v>
      </c>
      <c r="Q87" s="35" t="n">
        <f aca="false">H87*external_curves!M17</f>
        <v>1.476</v>
      </c>
    </row>
    <row r="88" customFormat="false" ht="12.75" hidden="false" customHeight="false" outlineLevel="0" collapsed="false">
      <c r="A88" s="61" t="n">
        <v>36708</v>
      </c>
      <c r="B88" s="191" t="n">
        <v>35</v>
      </c>
      <c r="C88" s="191" t="n">
        <v>42</v>
      </c>
      <c r="D88" s="191"/>
      <c r="E88" s="191"/>
      <c r="F88" s="191" t="n">
        <v>59.5</v>
      </c>
      <c r="G88" s="139" t="n">
        <f aca="false">IF(swap_model!$B$37="Y",swap_model!B41,((F88*external_curves!AI18)+(Fwd_curves!B88*external_curves!AL18)+(Fwd_curves!C88*external_curves!AM18))/(external_curves!AH18))</f>
        <v>48.3225806451613</v>
      </c>
      <c r="H88" s="35" t="n">
        <f aca="false">external_curves!O18</f>
        <v>4.26310693486652</v>
      </c>
      <c r="I88" s="56" t="n">
        <f aca="false">F88/N88</f>
        <v>2.78860278893851</v>
      </c>
      <c r="J88" s="139" t="n">
        <f aca="false">$H88*B88</f>
        <v>149.208742720328</v>
      </c>
      <c r="K88" s="139" t="n">
        <f aca="false">$H88*C88</f>
        <v>179.050491264394</v>
      </c>
      <c r="L88" s="139" t="n">
        <f aca="false">$H88*F88</f>
        <v>253.654862624558</v>
      </c>
      <c r="M88" s="139" t="n">
        <f aca="false">$H88*G88</f>
        <v>206.004328659034</v>
      </c>
      <c r="N88" s="139" t="n">
        <f aca="false">H88*external_curves!K18</f>
        <v>21.3368502090069</v>
      </c>
      <c r="O88" s="139" t="n">
        <f aca="false">H88*external_curves!Q18</f>
        <v>408.851023661058</v>
      </c>
      <c r="P88" s="139" t="n">
        <f aca="false">H88*external_curves!S18</f>
        <v>332.457767875257</v>
      </c>
      <c r="Q88" s="35" t="n">
        <f aca="false">H88*external_curves!M18</f>
        <v>6.29001574863166</v>
      </c>
    </row>
    <row r="89" customFormat="false" ht="12.75" hidden="false" customHeight="false" outlineLevel="0" collapsed="false">
      <c r="A89" s="61" t="n">
        <v>36739</v>
      </c>
      <c r="B89" s="191" t="n">
        <v>32</v>
      </c>
      <c r="C89" s="191" t="n">
        <v>40</v>
      </c>
      <c r="D89" s="191"/>
      <c r="E89" s="191"/>
      <c r="F89" s="191" t="n">
        <v>66</v>
      </c>
      <c r="G89" s="139" t="n">
        <f aca="false">IF(swap_model!$B$37="Y",swap_model!B42,((F89*external_curves!AI19)+(Fwd_curves!B89*external_curves!AL19)+(Fwd_curves!C89*external_curves!AM19))/(external_curves!AH19))</f>
        <v>50.8817204301075</v>
      </c>
      <c r="H89" s="35" t="n">
        <f aca="false">external_curves!O19</f>
        <v>4.28249296946718</v>
      </c>
      <c r="I89" s="56" t="n">
        <f aca="false">F89/N89</f>
        <v>3.06698188458278</v>
      </c>
      <c r="J89" s="139" t="n">
        <f aca="false">$H89*B89</f>
        <v>137.03977502295</v>
      </c>
      <c r="K89" s="139" t="n">
        <f aca="false">$H89*C89</f>
        <v>171.299718778687</v>
      </c>
      <c r="L89" s="139" t="n">
        <f aca="false">$H89*F89</f>
        <v>282.644535984834</v>
      </c>
      <c r="M89" s="139" t="n">
        <f aca="false">$H89*G89</f>
        <v>217.90061001633</v>
      </c>
      <c r="N89" s="139" t="n">
        <f aca="false">H89*external_curves!K19</f>
        <v>21.5195271715726</v>
      </c>
      <c r="O89" s="139" t="n">
        <f aca="false">H89*external_curves!Q19</f>
        <v>505.114539962596</v>
      </c>
      <c r="P89" s="139" t="n">
        <f aca="false">H89*external_curves!S19</f>
        <v>430.976760710021</v>
      </c>
      <c r="Q89" s="35" t="n">
        <f aca="false">H89*external_curves!M19</f>
        <v>6.31393174953245</v>
      </c>
    </row>
    <row r="90" customFormat="false" ht="12.75" hidden="false" customHeight="false" outlineLevel="0" collapsed="false">
      <c r="A90" s="61" t="n">
        <v>36770</v>
      </c>
      <c r="B90" s="191" t="n">
        <v>32</v>
      </c>
      <c r="C90" s="191" t="n">
        <v>40</v>
      </c>
      <c r="D90" s="191"/>
      <c r="E90" s="191"/>
      <c r="F90" s="191" t="n">
        <v>65</v>
      </c>
      <c r="G90" s="139" t="n">
        <f aca="false">IF(swap_model!$B$37="Y",swap_model!B43,((F90*external_curves!AI20)+(Fwd_curves!B90*external_curves!AL20)+(Fwd_curves!C90*external_curves!AM20))/(external_curves!AH20))</f>
        <v>49.8</v>
      </c>
      <c r="H90" s="35" t="n">
        <f aca="false">external_curves!O20</f>
        <v>4.28276813511487</v>
      </c>
      <c r="I90" s="56" t="n">
        <f aca="false">F90/N90</f>
        <v>3.0053663244526</v>
      </c>
      <c r="J90" s="139" t="n">
        <f aca="false">$H90*B90</f>
        <v>137.048580323676</v>
      </c>
      <c r="K90" s="139" t="n">
        <f aca="false">$H90*C90</f>
        <v>171.310725404595</v>
      </c>
      <c r="L90" s="139" t="n">
        <f aca="false">$H90*F90</f>
        <v>278.379928782466</v>
      </c>
      <c r="M90" s="139" t="n">
        <f aca="false">$H90*G90</f>
        <v>213.28185312872</v>
      </c>
      <c r="N90" s="139" t="n">
        <f aca="false">H90*external_curves!K20</f>
        <v>21.6279790823301</v>
      </c>
      <c r="O90" s="139" t="n">
        <f aca="false">H90*external_curves!Q20</f>
        <v>485.821213915353</v>
      </c>
      <c r="P90" s="139" t="n">
        <f aca="false">H90*external_curves!S20</f>
        <v>404.815959560491</v>
      </c>
      <c r="Q90" s="35" t="n">
        <f aca="false">H90*external_curves!M20</f>
        <v>6.3093664144851</v>
      </c>
    </row>
    <row r="91" customFormat="false" ht="12.75" hidden="false" customHeight="false" outlineLevel="0" collapsed="false">
      <c r="A91" s="61" t="n">
        <v>36800</v>
      </c>
      <c r="B91" s="191" t="n">
        <v>33</v>
      </c>
      <c r="C91" s="191" t="n">
        <v>43</v>
      </c>
      <c r="D91" s="191"/>
      <c r="E91" s="191"/>
      <c r="F91" s="191" t="n">
        <v>74</v>
      </c>
      <c r="G91" s="139" t="n">
        <f aca="false">IF(swap_model!$B$37="Y",swap_model!B44,((F91*external_curves!AI21)+(Fwd_curves!B91*external_curves!AL21)+(Fwd_curves!C91*external_curves!AM21))/(external_curves!AH21))</f>
        <v>55.3010752688172</v>
      </c>
      <c r="H91" s="35" t="n">
        <f aca="false">external_curves!O21</f>
        <v>4.28431364507189</v>
      </c>
      <c r="I91" s="56" t="n">
        <f aca="false">F91/N91</f>
        <v>3.34410678354752</v>
      </c>
      <c r="J91" s="139" t="n">
        <f aca="false">$H91*B91</f>
        <v>141.382350287372</v>
      </c>
      <c r="K91" s="139" t="n">
        <f aca="false">$H91*C91</f>
        <v>184.225486738091</v>
      </c>
      <c r="L91" s="139" t="n">
        <f aca="false">$H91*F91</f>
        <v>317.03920973532</v>
      </c>
      <c r="M91" s="139" t="n">
        <f aca="false">$H91*G91</f>
        <v>236.927151361341</v>
      </c>
      <c r="N91" s="139" t="n">
        <f aca="false">H91*external_curves!K21</f>
        <v>22.1284799767963</v>
      </c>
      <c r="O91" s="139" t="n">
        <f aca="false">H91*external_curves!Q21</f>
        <v>425.695920532832</v>
      </c>
      <c r="P91" s="139" t="n">
        <f aca="false">H91*external_curves!S21</f>
        <v>388.161441518109</v>
      </c>
      <c r="Q91" s="35" t="n">
        <f aca="false">H91*external_curves!M21</f>
        <v>6.30660623011603</v>
      </c>
    </row>
    <row r="92" customFormat="false" ht="12.75" hidden="false" customHeight="true" outlineLevel="0" collapsed="false">
      <c r="A92" s="61" t="n">
        <v>36831</v>
      </c>
      <c r="B92" s="191" t="n">
        <v>32</v>
      </c>
      <c r="C92" s="191" t="n">
        <v>36</v>
      </c>
      <c r="D92" s="191"/>
      <c r="E92" s="191"/>
      <c r="F92" s="191" t="n">
        <v>66.25</v>
      </c>
      <c r="G92" s="139" t="n">
        <f aca="false">IF(swap_model!$B$37="Y",swap_model!B45,((F92*external_curves!AI22)+(Fwd_curves!B92*external_curves!AL22)+(Fwd_curves!C92*external_curves!AM22))/(external_curves!AH22))</f>
        <v>49.8111111111111</v>
      </c>
      <c r="H92" s="35" t="n">
        <f aca="false">external_curves!O22</f>
        <v>4.28444826854293</v>
      </c>
      <c r="I92" s="56" t="n">
        <f aca="false">F92/N92</f>
        <v>2.92857976065974</v>
      </c>
      <c r="J92" s="139" t="n">
        <f aca="false">$H92*B92</f>
        <v>137.102344593374</v>
      </c>
      <c r="K92" s="139" t="n">
        <f aca="false">$H92*C92</f>
        <v>154.240137667546</v>
      </c>
      <c r="L92" s="139" t="n">
        <f aca="false">$H92*F92</f>
        <v>283.844697790969</v>
      </c>
      <c r="M92" s="139" t="n">
        <f aca="false">$H92*G92</f>
        <v>213.4131287542</v>
      </c>
      <c r="N92" s="139" t="n">
        <f aca="false">H92*external_curves!K22</f>
        <v>22.6218868579067</v>
      </c>
      <c r="O92" s="139" t="n">
        <f aca="false">H92*external_curves!Q22</f>
        <v>365.497499025071</v>
      </c>
      <c r="P92" s="139" t="n">
        <f aca="false">H92*external_curves!S22</f>
        <v>345.402138446489</v>
      </c>
      <c r="Q92" s="35" t="n">
        <f aca="false">H92*external_curves!M22</f>
        <v>6.30168101767364</v>
      </c>
      <c r="R92" s="61"/>
      <c r="S92" s="61"/>
      <c r="T92" s="61"/>
      <c r="U92" s="61"/>
      <c r="V92" s="61"/>
      <c r="W92" s="61"/>
      <c r="X92" s="61"/>
      <c r="Y92" s="61"/>
    </row>
    <row r="93" customFormat="false" ht="12.75" hidden="false" customHeight="true" outlineLevel="0" collapsed="false">
      <c r="A93" s="61" t="n">
        <v>36861</v>
      </c>
      <c r="B93" s="191" t="n">
        <v>32</v>
      </c>
      <c r="C93" s="191" t="n">
        <v>37</v>
      </c>
      <c r="D93" s="191"/>
      <c r="E93" s="191"/>
      <c r="F93" s="191" t="n">
        <v>68</v>
      </c>
      <c r="G93" s="139" t="n">
        <f aca="false">IF(swap_model!$B$37="Y",swap_model!B46,((F93*external_curves!AI23)+(Fwd_curves!B93*external_curves!AL23)+(Fwd_curves!C93*external_curves!AM23))/(external_curves!AH23))</f>
        <v>49.8709677419355</v>
      </c>
      <c r="H93" s="35" t="n">
        <f aca="false">external_curves!O23</f>
        <v>4.2844362029083</v>
      </c>
      <c r="I93" s="56" t="n">
        <f aca="false">F93/N93</f>
        <v>2.92290972831529</v>
      </c>
      <c r="J93" s="139" t="n">
        <f aca="false">$H93*B93</f>
        <v>137.101958493066</v>
      </c>
      <c r="K93" s="139" t="n">
        <f aca="false">$H93*C93</f>
        <v>158.524139507607</v>
      </c>
      <c r="L93" s="139" t="n">
        <f aca="false">$H93*F93</f>
        <v>291.341661797765</v>
      </c>
      <c r="M93" s="139" t="n">
        <f aca="false">$H93*G93</f>
        <v>213.668979667621</v>
      </c>
      <c r="N93" s="139" t="n">
        <f aca="false">H93*external_curves!K23</f>
        <v>23.2644885817921</v>
      </c>
      <c r="O93" s="139" t="n">
        <f aca="false">H93*external_curves!Q23</f>
        <v>341.590940337708</v>
      </c>
      <c r="P93" s="139" t="n">
        <f aca="false">H93*external_curves!S23</f>
        <v>291.683557770653</v>
      </c>
      <c r="Q93" s="35" t="n">
        <f aca="false">H93*external_curves!M23</f>
        <v>6.29660719516513</v>
      </c>
      <c r="R93" s="61"/>
      <c r="S93" s="61"/>
      <c r="T93" s="61"/>
      <c r="U93" s="61"/>
      <c r="V93" s="61"/>
      <c r="W93" s="61"/>
      <c r="X93" s="61"/>
      <c r="Y93" s="61"/>
    </row>
    <row r="94" customFormat="false" ht="12.75" hidden="false" customHeight="true" outlineLevel="0" collapsed="false">
      <c r="A94" s="61" t="n">
        <v>36892</v>
      </c>
      <c r="B94" s="191" t="n">
        <v>33</v>
      </c>
      <c r="C94" s="191" t="n">
        <v>38.5</v>
      </c>
      <c r="D94" s="191"/>
      <c r="E94" s="191"/>
      <c r="F94" s="139" t="n">
        <f aca="false">$C$12*external_curves!K24</f>
        <v>96.075</v>
      </c>
      <c r="G94" s="139" t="n">
        <f aca="false">IF(swap_model!$B$37="Y",swap_model!B47,((F94*external_curves!AI24)+(Fwd_curves!B94*external_curves!AL24)+(Fwd_curves!C94*external_curves!AM24))/(external_curves!AH24))</f>
        <v>65.6177419354839</v>
      </c>
      <c r="H94" s="35" t="n">
        <f aca="false">external_curves!O24</f>
        <v>4.28468849123454</v>
      </c>
      <c r="I94" s="56" t="n">
        <f aca="false">F94/N94</f>
        <v>4.08431092150593</v>
      </c>
      <c r="J94" s="139" t="n">
        <f aca="false">$H94*B94</f>
        <v>141.39472021074</v>
      </c>
      <c r="K94" s="139" t="n">
        <f aca="false">$H94*C94</f>
        <v>164.96050691253</v>
      </c>
      <c r="L94" s="139" t="n">
        <f aca="false">$H94*F94</f>
        <v>411.651446795359</v>
      </c>
      <c r="M94" s="139" t="n">
        <f aca="false">$H94*G94</f>
        <v>281.151583691766</v>
      </c>
      <c r="N94" s="139" t="n">
        <f aca="false">H94*external_curves!K24</f>
        <v>23.5229398168776</v>
      </c>
      <c r="O94" s="139" t="n">
        <f aca="false">H94*external_curves!Q24</f>
        <v>333.458526888912</v>
      </c>
      <c r="P94" s="139" t="n">
        <f aca="false">H94*external_curves!S24</f>
        <v>285.08708304116</v>
      </c>
      <c r="Q94" s="35" t="n">
        <f aca="false">H94*external_curves!M24</f>
        <v>6.29167031865872</v>
      </c>
      <c r="R94" s="61"/>
      <c r="S94" s="61"/>
      <c r="T94" s="61"/>
      <c r="U94" s="61"/>
      <c r="V94" s="61"/>
      <c r="W94" s="61"/>
      <c r="X94" s="61"/>
      <c r="Y94" s="61"/>
    </row>
    <row r="95" customFormat="false" ht="12.75" hidden="false" customHeight="true" outlineLevel="0" collapsed="false">
      <c r="A95" s="61" t="n">
        <v>36923</v>
      </c>
      <c r="B95" s="191" t="n">
        <v>30</v>
      </c>
      <c r="C95" s="191" t="n">
        <v>37.5</v>
      </c>
      <c r="D95" s="191"/>
      <c r="E95" s="191"/>
      <c r="F95" s="139" t="n">
        <f aca="false">$C$12*external_curves!K25</f>
        <v>91.875</v>
      </c>
      <c r="G95" s="139" t="n">
        <f aca="false">IF(swap_model!$B$37="Y",swap_model!B48,((F95*external_curves!AI25)+(Fwd_curves!B95*external_curves!AL25)+(Fwd_curves!C95*external_curves!AM25))/(external_curves!AH25))</f>
        <v>61.6071428571429</v>
      </c>
      <c r="H95" s="35" t="n">
        <f aca="false">external_curves!O25</f>
        <v>4.28528666346749</v>
      </c>
      <c r="I95" s="56" t="n">
        <f aca="false">F95/N95</f>
        <v>4.08374080296409</v>
      </c>
      <c r="J95" s="139" t="n">
        <f aca="false">$H95*B95</f>
        <v>128.558599904025</v>
      </c>
      <c r="K95" s="139" t="n">
        <f aca="false">$H95*C95</f>
        <v>160.698249880031</v>
      </c>
      <c r="L95" s="139" t="n">
        <f aca="false">$H95*F95</f>
        <v>393.710712206075</v>
      </c>
      <c r="M95" s="139" t="n">
        <f aca="false">$H95*G95</f>
        <v>264.00426766005</v>
      </c>
      <c r="N95" s="139" t="n">
        <f aca="false">H95*external_curves!K25</f>
        <v>22.4977549832043</v>
      </c>
      <c r="O95" s="139" t="n">
        <f aca="false">H95*external_curves!Q25</f>
        <v>311.214965022971</v>
      </c>
      <c r="P95" s="139" t="n">
        <f aca="false">H95*external_curves!S25</f>
        <v>268.776560701656</v>
      </c>
      <c r="Q95" s="35" t="n">
        <f aca="false">H95*external_curves!M25</f>
        <v>6.28717101056506</v>
      </c>
      <c r="R95" s="61"/>
      <c r="S95" s="61"/>
      <c r="T95" s="61"/>
      <c r="U95" s="61"/>
      <c r="V95" s="61"/>
      <c r="W95" s="61"/>
      <c r="X95" s="61"/>
      <c r="Y95" s="61"/>
    </row>
    <row r="96" customFormat="false" ht="12.75" hidden="false" customHeight="true" outlineLevel="0" collapsed="false">
      <c r="A96" s="61" t="n">
        <v>36951</v>
      </c>
      <c r="B96" s="191" t="n">
        <v>31</v>
      </c>
      <c r="C96" s="191" t="n">
        <v>37.5</v>
      </c>
      <c r="D96" s="191"/>
      <c r="E96" s="191"/>
      <c r="F96" s="139" t="n">
        <f aca="false">$C$12*external_curves!K26</f>
        <v>88.2</v>
      </c>
      <c r="G96" s="139" t="n">
        <f aca="false">IF(swap_model!$B$37="Y",swap_model!B49,((F96*external_curves!AI26)+(Fwd_curves!B96*external_curves!AL26)+(Fwd_curves!C96*external_curves!AM26))/(external_curves!AH26))</f>
        <v>59.9494623655914</v>
      </c>
      <c r="H96" s="35" t="n">
        <f aca="false">external_curves!O26</f>
        <v>4.28569289624055</v>
      </c>
      <c r="I96" s="56" t="n">
        <f aca="false">F96/N96</f>
        <v>4.0833537128503</v>
      </c>
      <c r="J96" s="139" t="n">
        <f aca="false">$H96*B96</f>
        <v>132.856479783457</v>
      </c>
      <c r="K96" s="139" t="n">
        <f aca="false">$H96*C96</f>
        <v>160.713483609021</v>
      </c>
      <c r="L96" s="139" t="n">
        <f aca="false">$H96*F96</f>
        <v>377.998113448416</v>
      </c>
      <c r="M96" s="139" t="n">
        <f aca="false">$H96*G96</f>
        <v>256.924984993655</v>
      </c>
      <c r="N96" s="139" t="n">
        <f aca="false">H96*external_curves!K26</f>
        <v>21.5998921970524</v>
      </c>
      <c r="O96" s="139" t="n">
        <f aca="false">H96*external_curves!Q26</f>
        <v>263.878973275494</v>
      </c>
      <c r="P96" s="139" t="n">
        <f aca="false">H96*external_curves!S26</f>
        <v>225.675297037068</v>
      </c>
      <c r="Q96" s="35" t="n">
        <f aca="false">H96*external_curves!M26</f>
        <v>6.28283269703558</v>
      </c>
      <c r="R96" s="61"/>
      <c r="S96" s="61"/>
      <c r="T96" s="61"/>
      <c r="U96" s="61"/>
      <c r="V96" s="61"/>
      <c r="W96" s="61"/>
      <c r="X96" s="61"/>
      <c r="Y96" s="61"/>
    </row>
    <row r="97" customFormat="false" ht="12.75" hidden="false" customHeight="true" outlineLevel="0" collapsed="false">
      <c r="A97" s="61" t="n">
        <v>36982</v>
      </c>
      <c r="B97" s="191" t="n">
        <v>29.5</v>
      </c>
      <c r="C97" s="191" t="n">
        <v>37.5</v>
      </c>
      <c r="D97" s="191"/>
      <c r="E97" s="191"/>
      <c r="F97" s="139" t="n">
        <f aca="false">$C$12*external_curves!K27</f>
        <v>79.320382746179</v>
      </c>
      <c r="G97" s="139" t="n">
        <f aca="false">IF(swap_model!$B$37="Y",swap_model!B50,((F97*external_curves!AI27)+(Fwd_curves!B97*external_curves!AL27)+(Fwd_curves!C97*external_curves!AM27))/(external_curves!AH27))</f>
        <v>55.1495119482169</v>
      </c>
      <c r="H97" s="35" t="n">
        <f aca="false">external_curves!O27</f>
        <v>4.28320539384139</v>
      </c>
      <c r="I97" s="56" t="n">
        <f aca="false">F97/N97</f>
        <v>4.08572514994551</v>
      </c>
      <c r="J97" s="139" t="n">
        <f aca="false">$H97*B97</f>
        <v>126.354559118321</v>
      </c>
      <c r="K97" s="139" t="n">
        <f aca="false">$H97*C97</f>
        <v>160.620202269052</v>
      </c>
      <c r="L97" s="139" t="n">
        <f aca="false">$H97*F97</f>
        <v>339.745491219997</v>
      </c>
      <c r="M97" s="139" t="n">
        <f aca="false">$H97*G97</f>
        <v>236.216687044322</v>
      </c>
      <c r="N97" s="139" t="n">
        <f aca="false">H97*external_curves!K27</f>
        <v>19.4140280697141</v>
      </c>
      <c r="O97" s="139" t="n">
        <f aca="false">H97*external_curves!Q27</f>
        <v>265.068441889521</v>
      </c>
      <c r="P97" s="139" t="n">
        <f aca="false">H97*external_curves!S27</f>
        <v>218.363417283083</v>
      </c>
      <c r="Q97" s="35" t="n">
        <f aca="false">H97*external_curves!M27</f>
        <v>6.27380927549162</v>
      </c>
      <c r="R97" s="61"/>
      <c r="S97" s="61"/>
      <c r="T97" s="61"/>
      <c r="U97" s="61"/>
      <c r="V97" s="61"/>
      <c r="W97" s="61"/>
      <c r="X97" s="61"/>
      <c r="Y97" s="61"/>
    </row>
    <row r="98" customFormat="false" ht="12.75" hidden="false" customHeight="true" outlineLevel="0" collapsed="false">
      <c r="A98" s="61" t="n">
        <v>37012</v>
      </c>
      <c r="B98" s="191" t="n">
        <v>32</v>
      </c>
      <c r="C98" s="191" t="n">
        <v>37.5</v>
      </c>
      <c r="D98" s="191"/>
      <c r="E98" s="191"/>
      <c r="F98" s="139" t="n">
        <f aca="false">$C$12*external_curves!K28</f>
        <v>76.0007094300523</v>
      </c>
      <c r="G98" s="139" t="n">
        <f aca="false">IF(swap_model!$B$37="Y",swap_model!B51,((F98*external_curves!AI28)+(Fwd_curves!B98*external_curves!AL28)+(Fwd_curves!C98*external_curves!AM28))/(external_curves!AH28))</f>
        <v>55.1831465998108</v>
      </c>
      <c r="H98" s="35" t="n">
        <f aca="false">external_curves!O28</f>
        <v>4.2769518051475</v>
      </c>
      <c r="I98" s="56" t="n">
        <f aca="false">F98/N98</f>
        <v>4.09169913463555</v>
      </c>
      <c r="J98" s="139" t="n">
        <f aca="false">$H98*B98</f>
        <v>136.86245776472</v>
      </c>
      <c r="K98" s="139" t="n">
        <f aca="false">$H98*C98</f>
        <v>160.385692693031</v>
      </c>
      <c r="L98" s="139" t="n">
        <f aca="false">$H98*F98</f>
        <v>325.051371389353</v>
      </c>
      <c r="M98" s="139" t="n">
        <f aca="false">$H98*G98</f>
        <v>236.01565846378</v>
      </c>
      <c r="N98" s="139" t="n">
        <f aca="false">H98*external_curves!K28</f>
        <v>18.5743640793916</v>
      </c>
      <c r="O98" s="139" t="n">
        <f aca="false">H98*external_curves!Q28</f>
        <v>248.825684950941</v>
      </c>
      <c r="P98" s="139" t="n">
        <f aca="false">H98*external_curves!S28</f>
        <v>194.448177618895</v>
      </c>
      <c r="Q98" s="35" t="n">
        <f aca="false">H98*external_curves!M28</f>
        <v>6.25976565914318</v>
      </c>
      <c r="R98" s="61"/>
      <c r="S98" s="61"/>
      <c r="T98" s="61"/>
      <c r="U98" s="61"/>
      <c r="V98" s="61"/>
      <c r="W98" s="61"/>
      <c r="X98" s="61"/>
      <c r="Y98" s="61"/>
    </row>
    <row r="99" customFormat="false" ht="12.75" hidden="false" customHeight="true" outlineLevel="0" collapsed="false">
      <c r="A99" s="61" t="n">
        <v>37043</v>
      </c>
      <c r="B99" s="191" t="n">
        <v>32</v>
      </c>
      <c r="C99" s="191" t="n">
        <v>37.5</v>
      </c>
      <c r="D99" s="191"/>
      <c r="E99" s="191"/>
      <c r="F99" s="139" t="n">
        <f aca="false">$C$12*external_curves!K29</f>
        <v>75.2158911655762</v>
      </c>
      <c r="G99" s="139" t="n">
        <f aca="false">IF(swap_model!$B$37="Y",swap_model!B52,((F99*external_curves!AI29)+(Fwd_curves!B99*external_curves!AL29)+(Fwd_curves!C99*external_curves!AM29))/(external_curves!AH29))</f>
        <v>53.8174158772689</v>
      </c>
      <c r="H99" s="35" t="n">
        <f aca="false">external_curves!O29</f>
        <v>4.27039399406883</v>
      </c>
      <c r="I99" s="56" t="n">
        <f aca="false">F99/N99</f>
        <v>4.09798253376757</v>
      </c>
      <c r="J99" s="139" t="n">
        <f aca="false">$H99*B99</f>
        <v>136.652607810203</v>
      </c>
      <c r="K99" s="139" t="n">
        <f aca="false">$H99*C99</f>
        <v>160.139774777581</v>
      </c>
      <c r="L99" s="139" t="n">
        <f aca="false">$H99*F99</f>
        <v>321.201489892012</v>
      </c>
      <c r="M99" s="139" t="n">
        <f aca="false">$H99*G99</f>
        <v>229.821569538594</v>
      </c>
      <c r="N99" s="139" t="n">
        <f aca="false">H99*external_curves!K29</f>
        <v>18.3543708509721</v>
      </c>
      <c r="O99" s="139" t="n">
        <f aca="false">H99*external_curves!Q29</f>
        <v>254.489759791056</v>
      </c>
      <c r="P99" s="139" t="n">
        <f aca="false">H99*external_curves!S29</f>
        <v>202.412168864488</v>
      </c>
      <c r="Q99" s="35" t="n">
        <f aca="false">H99*external_curves!M29</f>
        <v>6.24514747953513</v>
      </c>
      <c r="R99" s="61"/>
      <c r="S99" s="61"/>
      <c r="T99" s="61"/>
      <c r="U99" s="61"/>
      <c r="V99" s="61"/>
      <c r="W99" s="61"/>
      <c r="X99" s="61"/>
      <c r="Y99" s="61"/>
    </row>
    <row r="100" customFormat="false" ht="12.75" hidden="false" customHeight="true" outlineLevel="0" collapsed="false">
      <c r="A100" s="61" t="n">
        <v>37073</v>
      </c>
      <c r="B100" s="191" t="n">
        <v>30</v>
      </c>
      <c r="C100" s="191" t="n">
        <v>38.2</v>
      </c>
      <c r="D100" s="191"/>
      <c r="E100" s="191"/>
      <c r="F100" s="139" t="n">
        <f aca="false">$C$12*external_curves!K30</f>
        <v>74.9640078629584</v>
      </c>
      <c r="G100" s="139" t="n">
        <f aca="false">IF(swap_model!$B$37="Y",swap_model!B53,((F100*external_curves!AI30)+(Fwd_curves!B100*external_curves!AL30)+(Fwd_curves!C100*external_curves!AM30))/(external_curves!AH30))</f>
        <v>53.6539392039803</v>
      </c>
      <c r="H100" s="35" t="n">
        <f aca="false">external_curves!O30</f>
        <v>4.26082139300952</v>
      </c>
      <c r="I100" s="56" t="n">
        <f aca="false">F100/N100</f>
        <v>4.10718929188424</v>
      </c>
      <c r="J100" s="139" t="n">
        <f aca="false">$H100*B100</f>
        <v>127.824641790286</v>
      </c>
      <c r="K100" s="139" t="n">
        <f aca="false">$H100*C100</f>
        <v>162.763377212964</v>
      </c>
      <c r="L100" s="139" t="n">
        <f aca="false">$H100*F100</f>
        <v>319.408248408227</v>
      </c>
      <c r="M100" s="139" t="n">
        <f aca="false">$H100*G100</f>
        <v>228.609851979552</v>
      </c>
      <c r="N100" s="139" t="n">
        <f aca="false">H100*external_curves!K30</f>
        <v>18.2518999090416</v>
      </c>
      <c r="O100" s="139" t="n">
        <f aca="false">H100*external_curves!Q30</f>
        <v>417.155830461202</v>
      </c>
      <c r="P100" s="139" t="n">
        <f aca="false">H100*external_curves!S30</f>
        <v>315.427651294809</v>
      </c>
      <c r="Q100" s="35" t="n">
        <f aca="false">H100*external_curves!M30</f>
        <v>6.22620642479406</v>
      </c>
      <c r="R100" s="61"/>
      <c r="S100" s="61"/>
      <c r="T100" s="61"/>
      <c r="U100" s="61"/>
      <c r="V100" s="61"/>
      <c r="W100" s="61"/>
      <c r="X100" s="61"/>
      <c r="Y100" s="61"/>
    </row>
    <row r="101" customFormat="false" ht="12.75" hidden="false" customHeight="true" outlineLevel="0" collapsed="false">
      <c r="A101" s="61" t="n">
        <v>37104</v>
      </c>
      <c r="B101" s="191" t="n">
        <v>30</v>
      </c>
      <c r="C101" s="191" t="n">
        <v>40.24</v>
      </c>
      <c r="D101" s="191"/>
      <c r="E101" s="191"/>
      <c r="F101" s="139" t="n">
        <f aca="false">$C$12*external_curves!K31</f>
        <v>74.7586189486018</v>
      </c>
      <c r="G101" s="139" t="n">
        <f aca="false">IF(swap_model!$B$37="Y",swap_model!B54,((F101*external_curves!AI31)+(Fwd_curves!B101*external_curves!AL31)+(Fwd_curves!C101*external_curves!AM31))/(external_curves!AH31))</f>
        <v>54.7812523831794</v>
      </c>
      <c r="H101" s="35" t="n">
        <f aca="false">external_curves!O31</f>
        <v>4.24604579123137</v>
      </c>
      <c r="I101" s="56" t="n">
        <f aca="false">F101/N101</f>
        <v>4.121481693895</v>
      </c>
      <c r="J101" s="139" t="n">
        <f aca="false">$H101*B101</f>
        <v>127.381373736941</v>
      </c>
      <c r="K101" s="139" t="n">
        <f aca="false">$H101*C101</f>
        <v>170.860882639151</v>
      </c>
      <c r="L101" s="139" t="n">
        <f aca="false">$H101*F101</f>
        <v>317.428519344981</v>
      </c>
      <c r="M101" s="139" t="n">
        <f aca="false">$H101*G101</f>
        <v>232.603706119983</v>
      </c>
      <c r="N101" s="139" t="n">
        <f aca="false">H101*external_curves!K31</f>
        <v>18.1387725339989</v>
      </c>
      <c r="O101" s="139" t="n">
        <f aca="false">H101*external_curves!Q31</f>
        <v>499.049398857481</v>
      </c>
      <c r="P101" s="139" t="n">
        <f aca="false">H101*external_curves!S31</f>
        <v>396.359811074144</v>
      </c>
      <c r="Q101" s="35" t="n">
        <f aca="false">H101*external_curves!M31</f>
        <v>6.19937141437864</v>
      </c>
      <c r="R101" s="61"/>
      <c r="S101" s="61"/>
      <c r="T101" s="61"/>
      <c r="U101" s="61"/>
      <c r="V101" s="61"/>
      <c r="W101" s="61"/>
      <c r="X101" s="61"/>
      <c r="Y101" s="61"/>
    </row>
    <row r="102" customFormat="false" ht="12.75" hidden="false" customHeight="true" outlineLevel="0" collapsed="false">
      <c r="A102" s="61" t="n">
        <v>37135</v>
      </c>
      <c r="B102" s="191" t="n">
        <v>30</v>
      </c>
      <c r="C102" s="191" t="n">
        <v>40.24</v>
      </c>
      <c r="D102" s="191"/>
      <c r="E102" s="191"/>
      <c r="F102" s="139" t="n">
        <f aca="false">$C$12*external_curves!K32</f>
        <v>74.2169957254512</v>
      </c>
      <c r="G102" s="139" t="n">
        <f aca="false">IF(swap_model!$B$37="Y",swap_model!B55,((F102*external_curves!AI32)+(Fwd_curves!B102*external_curves!AL32)+(Fwd_curves!C102*external_curves!AM32))/(external_curves!AH32))</f>
        <v>53.0653314335339</v>
      </c>
      <c r="H102" s="35" t="n">
        <f aca="false">external_curves!O32</f>
        <v>4.23127335136074</v>
      </c>
      <c r="I102" s="56" t="n">
        <f aca="false">F102/N102</f>
        <v>4.13587082346551</v>
      </c>
      <c r="J102" s="139" t="n">
        <f aca="false">$H102*B102</f>
        <v>126.938200540822</v>
      </c>
      <c r="K102" s="139" t="n">
        <f aca="false">$H102*C102</f>
        <v>170.266439658756</v>
      </c>
      <c r="L102" s="139" t="n">
        <f aca="false">$H102*F102</f>
        <v>314.032396231156</v>
      </c>
      <c r="M102" s="139" t="n">
        <f aca="false">$H102*G102</f>
        <v>224.533922775837</v>
      </c>
      <c r="N102" s="139" t="n">
        <f aca="false">H102*external_curves!K32</f>
        <v>17.944708356066</v>
      </c>
      <c r="O102" s="139" t="n">
        <f aca="false">H102*external_curves!Q32</f>
        <v>432.07882520235</v>
      </c>
      <c r="P102" s="139" t="n">
        <f aca="false">H102*external_curves!S32</f>
        <v>342.062403285194</v>
      </c>
      <c r="Q102" s="35" t="n">
        <f aca="false">H102*external_curves!M32</f>
        <v>6.17255464574785</v>
      </c>
      <c r="R102" s="61"/>
      <c r="S102" s="61"/>
      <c r="T102" s="61"/>
      <c r="U102" s="61"/>
      <c r="V102" s="61"/>
      <c r="W102" s="61"/>
      <c r="X102" s="61"/>
      <c r="Y102" s="61"/>
    </row>
    <row r="103" customFormat="false" ht="12.75" hidden="false" customHeight="true" outlineLevel="0" collapsed="false">
      <c r="A103" s="61" t="n">
        <v>37165</v>
      </c>
      <c r="B103" s="191" t="n">
        <v>30</v>
      </c>
      <c r="C103" s="191" t="n">
        <v>40</v>
      </c>
      <c r="D103" s="191"/>
      <c r="E103" s="191"/>
      <c r="F103" s="139" t="n">
        <f aca="false">$C$12*external_curves!K33</f>
        <v>74.3978276506094</v>
      </c>
      <c r="G103" s="139" t="n">
        <f aca="false">IF(swap_model!$B$37="Y",swap_model!B56,((F103*external_curves!AI33)+(Fwd_curves!B103*external_curves!AL33)+(Fwd_curves!C103*external_curves!AM33))/(external_curves!AH33))</f>
        <v>54.5408609884735</v>
      </c>
      <c r="H103" s="35" t="n">
        <f aca="false">external_curves!O33</f>
        <v>4.21698076214798</v>
      </c>
      <c r="I103" s="56" t="n">
        <f aca="false">F103/N103</f>
        <v>4.14988850721864</v>
      </c>
      <c r="J103" s="139" t="n">
        <f aca="false">$H103*B103</f>
        <v>126.509422864439</v>
      </c>
      <c r="K103" s="139" t="n">
        <f aca="false">$H103*C103</f>
        <v>168.679230485919</v>
      </c>
      <c r="L103" s="139" t="n">
        <f aca="false">$H103*F103</f>
        <v>313.734207948221</v>
      </c>
      <c r="M103" s="139" t="n">
        <f aca="false">$H103*G103</f>
        <v>229.99776153938</v>
      </c>
      <c r="N103" s="139" t="n">
        <f aca="false">H103*external_curves!K33</f>
        <v>17.9276690256126</v>
      </c>
      <c r="O103" s="139" t="n">
        <f aca="false">H103*external_curves!Q33</f>
        <v>339.606516366004</v>
      </c>
      <c r="P103" s="139" t="n">
        <f aca="false">H103*external_curves!S33</f>
        <v>295.141906063814</v>
      </c>
      <c r="Q103" s="35" t="n">
        <f aca="false">H103*external_curves!M33</f>
        <v>6.14672427811771</v>
      </c>
      <c r="R103" s="61"/>
      <c r="S103" s="61"/>
      <c r="T103" s="61"/>
      <c r="U103" s="61"/>
      <c r="V103" s="61"/>
      <c r="W103" s="61"/>
      <c r="X103" s="61"/>
      <c r="Y103" s="61"/>
    </row>
    <row r="104" customFormat="false" ht="12.75" hidden="false" customHeight="true" outlineLevel="0" collapsed="false">
      <c r="A104" s="61" t="n">
        <v>37196</v>
      </c>
      <c r="B104" s="191" t="n">
        <v>33</v>
      </c>
      <c r="C104" s="191" t="n">
        <v>40</v>
      </c>
      <c r="D104" s="191"/>
      <c r="E104" s="191"/>
      <c r="F104" s="139" t="n">
        <f aca="false">$C$12*external_curves!K34</f>
        <v>76.8556311340944</v>
      </c>
      <c r="G104" s="139" t="n">
        <f aca="false">IF(swap_model!$B$37="Y",swap_model!B57,((F104*external_curves!AI34)+(Fwd_curves!B104*external_curves!AL34)+(Fwd_curves!C104*external_curves!AM34))/(external_curves!AH34))</f>
        <v>56.307197443335</v>
      </c>
      <c r="H104" s="35" t="n">
        <f aca="false">external_curves!O34</f>
        <v>4.20221550315026</v>
      </c>
      <c r="I104" s="56" t="n">
        <f aca="false">F104/N104</f>
        <v>4.16446990566782</v>
      </c>
      <c r="J104" s="139" t="n">
        <f aca="false">$H104*B104</f>
        <v>138.673111603959</v>
      </c>
      <c r="K104" s="139" t="n">
        <f aca="false">$H104*C104</f>
        <v>168.08862012601</v>
      </c>
      <c r="L104" s="139" t="n">
        <f aca="false">$H104*F104</f>
        <v>322.963924656089</v>
      </c>
      <c r="M104" s="139" t="n">
        <f aca="false">$H104*G104</f>
        <v>236.614978035325</v>
      </c>
      <c r="N104" s="139" t="n">
        <f aca="false">H104*external_curves!K34</f>
        <v>18.4550814089194</v>
      </c>
      <c r="O104" s="139" t="n">
        <f aca="false">H104*external_curves!Q34</f>
        <v>313.662541482104</v>
      </c>
      <c r="P104" s="139" t="n">
        <f aca="false">H104*external_curves!S34</f>
        <v>271.033336996122</v>
      </c>
      <c r="Q104" s="35" t="n">
        <f aca="false">H104*external_curves!M34</f>
        <v>6.12024471184594</v>
      </c>
      <c r="R104" s="61"/>
      <c r="S104" s="61"/>
      <c r="T104" s="61"/>
      <c r="U104" s="61"/>
      <c r="V104" s="61"/>
      <c r="W104" s="61"/>
      <c r="X104" s="61"/>
      <c r="Y104" s="61"/>
    </row>
    <row r="105" customFormat="false" ht="12.75" hidden="false" customHeight="true" outlineLevel="0" collapsed="false">
      <c r="A105" s="61" t="n">
        <v>37226</v>
      </c>
      <c r="B105" s="191" t="n">
        <v>33</v>
      </c>
      <c r="C105" s="191" t="n">
        <v>40</v>
      </c>
      <c r="D105" s="191"/>
      <c r="E105" s="191"/>
      <c r="F105" s="139" t="n">
        <f aca="false">$C$12*external_curves!K35</f>
        <v>78.9513085425866</v>
      </c>
      <c r="G105" s="139" t="n">
        <f aca="false">IF(swap_model!$B$37="Y",swap_model!B58,((F105*external_curves!AI35)+(Fwd_curves!B105*external_curves!AL35)+(Fwd_curves!C105*external_curves!AM35))/(external_curves!AH35))</f>
        <v>56.0102683740714</v>
      </c>
      <c r="H105" s="35" t="n">
        <f aca="false">external_curves!O35</f>
        <v>4.18793047570622</v>
      </c>
      <c r="I105" s="56" t="n">
        <f aca="false">F105/N105</f>
        <v>4.17867490912656</v>
      </c>
      <c r="J105" s="139" t="n">
        <f aca="false">$H105*B105</f>
        <v>138.201705698305</v>
      </c>
      <c r="K105" s="139" t="n">
        <f aca="false">$H105*C105</f>
        <v>167.517219028249</v>
      </c>
      <c r="L105" s="139" t="n">
        <f aca="false">$H105*F105</f>
        <v>330.642591142383</v>
      </c>
      <c r="M105" s="139" t="n">
        <f aca="false">$H105*G105</f>
        <v>234.567109876258</v>
      </c>
      <c r="N105" s="139" t="n">
        <f aca="false">H105*external_curves!K35</f>
        <v>18.8938623509933</v>
      </c>
      <c r="O105" s="139" t="n">
        <f aca="false">H105*external_curves!Q35</f>
        <v>312.351863727914</v>
      </c>
      <c r="P105" s="139" t="n">
        <f aca="false">H105*external_curves!S35</f>
        <v>262.930966957117</v>
      </c>
      <c r="Q105" s="35" t="n">
        <f aca="false">H105*external_curves!M35</f>
        <v>6.09467051176419</v>
      </c>
      <c r="R105" s="61"/>
      <c r="S105" s="61"/>
      <c r="T105" s="61"/>
      <c r="U105" s="61"/>
      <c r="V105" s="61"/>
      <c r="W105" s="61"/>
      <c r="X105" s="61"/>
      <c r="Y105" s="61"/>
    </row>
    <row r="106" customFormat="false" ht="12.75" hidden="false" customHeight="true" outlineLevel="0" collapsed="false">
      <c r="A106" s="61" t="n">
        <v>37257</v>
      </c>
      <c r="B106" s="139" t="n">
        <f aca="false">B94*(1+$B$22)</f>
        <v>33.66</v>
      </c>
      <c r="C106" s="139" t="n">
        <f aca="false">C94*(1+$B$22)</f>
        <v>39.27</v>
      </c>
      <c r="D106" s="139"/>
      <c r="E106" s="139"/>
      <c r="F106" s="139" t="n">
        <f aca="false">$C$13*external_curves!K36</f>
        <v>70.1791961893773</v>
      </c>
      <c r="G106" s="139" t="n">
        <f aca="false">IF(swap_model!$B$37="Y",swap_model!B59,((F106*external_curves!AI36)+(Fwd_curves!B106*external_curves!AL36)+(Fwd_curves!C106*external_curves!AM36))/(external_curves!AH36))</f>
        <v>53.1710002657135</v>
      </c>
      <c r="H106" s="35" t="n">
        <f aca="false">external_curves!O36</f>
        <v>4.17317366094241</v>
      </c>
      <c r="I106" s="56" t="n">
        <f aca="false">F106/N106</f>
        <v>3.72618090292663</v>
      </c>
      <c r="J106" s="139" t="n">
        <f aca="false">$H106*B106</f>
        <v>140.469025427321</v>
      </c>
      <c r="K106" s="139" t="n">
        <f aca="false">$H106*C106</f>
        <v>163.880529665208</v>
      </c>
      <c r="L106" s="139" t="n">
        <f aca="false">$H106*F106</f>
        <v>292.869973083619</v>
      </c>
      <c r="M106" s="139" t="n">
        <f aca="false">$H106*G106</f>
        <v>221.891817834837</v>
      </c>
      <c r="N106" s="139" t="n">
        <f aca="false">H106*external_curves!K36</f>
        <v>18.8340818703292</v>
      </c>
      <c r="O106" s="139" t="n">
        <f aca="false">H106*external_curves!Q36</f>
        <v>230.596149628058</v>
      </c>
      <c r="P106" s="139" t="n">
        <f aca="false">H106*external_curves!S36</f>
        <v>208.818711897904</v>
      </c>
      <c r="Q106" s="35" t="n">
        <f aca="false">H106*external_curves!M36</f>
        <v>6.06831972705415</v>
      </c>
      <c r="R106" s="61"/>
      <c r="S106" s="61"/>
      <c r="T106" s="61"/>
      <c r="U106" s="61"/>
      <c r="V106" s="61"/>
      <c r="W106" s="61"/>
      <c r="X106" s="61"/>
      <c r="Y106" s="61"/>
    </row>
    <row r="107" customFormat="false" ht="12.75" hidden="false" customHeight="true" outlineLevel="0" collapsed="false">
      <c r="A107" s="61" t="n">
        <v>37288</v>
      </c>
      <c r="B107" s="139" t="n">
        <f aca="false">B95*(1+$B$22)</f>
        <v>30.6</v>
      </c>
      <c r="C107" s="139" t="n">
        <f aca="false">C95*(1+$B$22)</f>
        <v>38.25</v>
      </c>
      <c r="D107" s="139"/>
      <c r="E107" s="139"/>
      <c r="F107" s="139" t="n">
        <f aca="false">$C$13*external_curves!K37</f>
        <v>67.1400594740874</v>
      </c>
      <c r="G107" s="139" t="n">
        <f aca="false">IF(swap_model!$B$37="Y",swap_model!B60,((F107*external_curves!AI37)+(Fwd_curves!B107*external_curves!AL37)+(Fwd_curves!C107*external_curves!AM37))/(external_curves!AH37))</f>
        <v>50.1857426067083</v>
      </c>
      <c r="H107" s="35" t="n">
        <f aca="false">external_curves!O37</f>
        <v>4.15842161840211</v>
      </c>
      <c r="I107" s="56" t="n">
        <f aca="false">F107/N107</f>
        <v>3.73939956717885</v>
      </c>
      <c r="J107" s="139" t="n">
        <f aca="false">$H107*B107</f>
        <v>127.247701523105</v>
      </c>
      <c r="K107" s="139" t="n">
        <f aca="false">$H107*C107</f>
        <v>159.059626903881</v>
      </c>
      <c r="L107" s="139" t="n">
        <f aca="false">$H107*F107</f>
        <v>279.196674777848</v>
      </c>
      <c r="M107" s="139" t="n">
        <f aca="false">$H107*G107</f>
        <v>208.6934769913</v>
      </c>
      <c r="N107" s="139" t="n">
        <f aca="false">H107*external_curves!K37</f>
        <v>17.9547700821767</v>
      </c>
      <c r="O107" s="139" t="n">
        <f aca="false">H107*external_curves!Q37</f>
        <v>217.514109235667</v>
      </c>
      <c r="P107" s="139" t="n">
        <f aca="false">H107*external_curves!S37</f>
        <v>200.682660306716</v>
      </c>
      <c r="Q107" s="35" t="n">
        <f aca="false">H107*external_curves!M37</f>
        <v>6.04205858987963</v>
      </c>
      <c r="R107" s="61"/>
      <c r="S107" s="61"/>
      <c r="T107" s="61"/>
      <c r="U107" s="61"/>
      <c r="V107" s="61"/>
      <c r="W107" s="61"/>
      <c r="X107" s="61"/>
      <c r="Y107" s="61"/>
    </row>
    <row r="108" customFormat="false" ht="12.75" hidden="false" customHeight="true" outlineLevel="0" collapsed="false">
      <c r="A108" s="61" t="n">
        <v>37316</v>
      </c>
      <c r="B108" s="139" t="n">
        <f aca="false">B96*(1+$B$22)</f>
        <v>31.62</v>
      </c>
      <c r="C108" s="139" t="n">
        <f aca="false">C96*(1+$B$22)</f>
        <v>38.25</v>
      </c>
      <c r="D108" s="139"/>
      <c r="E108" s="139"/>
      <c r="F108" s="139" t="n">
        <f aca="false">$C$13*external_curves!K38</f>
        <v>63.7497329956804</v>
      </c>
      <c r="G108" s="139" t="n">
        <f aca="false">IF(swap_model!$B$37="Y",swap_model!B61,((F108*external_curves!AI38)+(Fwd_curves!B108*external_curves!AL38)+(Fwd_curves!C108*external_curves!AM38))/(external_curves!AH38))</f>
        <v>48.2689116754686</v>
      </c>
      <c r="H108" s="35" t="n">
        <f aca="false">external_curves!O38</f>
        <v>4.14510156281612</v>
      </c>
      <c r="I108" s="56" t="n">
        <f aca="false">F108/N108</f>
        <v>3.75141592174537</v>
      </c>
      <c r="J108" s="139" t="n">
        <f aca="false">$H108*B108</f>
        <v>131.068111416246</v>
      </c>
      <c r="K108" s="139" t="n">
        <f aca="false">$H108*C108</f>
        <v>158.550134777716</v>
      </c>
      <c r="L108" s="139" t="n">
        <f aca="false">$H108*F108</f>
        <v>264.249117869505</v>
      </c>
      <c r="M108" s="139" t="n">
        <f aca="false">$H108*G108</f>
        <v>200.079541221418</v>
      </c>
      <c r="N108" s="139" t="n">
        <f aca="false">H108*external_curves!K38</f>
        <v>16.9935124031836</v>
      </c>
      <c r="O108" s="139" t="n">
        <f aca="false">H108*external_curves!Q38</f>
        <v>204.625274666646</v>
      </c>
      <c r="P108" s="139" t="n">
        <f aca="false">H108*external_curves!S38</f>
        <v>187.379026817607</v>
      </c>
      <c r="Q108" s="35" t="n">
        <f aca="false">H108*external_curves!M38</f>
        <v>6.01839043137194</v>
      </c>
      <c r="R108" s="61"/>
      <c r="S108" s="61"/>
      <c r="T108" s="61"/>
      <c r="U108" s="61"/>
      <c r="V108" s="61"/>
      <c r="W108" s="61"/>
      <c r="X108" s="61"/>
      <c r="Y108" s="61"/>
    </row>
    <row r="109" customFormat="false" ht="12.75" hidden="false" customHeight="true" outlineLevel="0" collapsed="false">
      <c r="A109" s="61" t="n">
        <v>37347</v>
      </c>
      <c r="B109" s="139" t="n">
        <f aca="false">B97*(1+$B$22)</f>
        <v>30.09</v>
      </c>
      <c r="C109" s="139" t="n">
        <f aca="false">C97*(1+$B$22)</f>
        <v>38.25</v>
      </c>
      <c r="D109" s="139"/>
      <c r="E109" s="139"/>
      <c r="F109" s="139" t="n">
        <f aca="false">$C$13*external_curves!K39</f>
        <v>59.3200730734476</v>
      </c>
      <c r="G109" s="139" t="n">
        <f aca="false">IF(swap_model!$B$37="Y",swap_model!B62,((F109*external_curves!AI39)+(Fwd_curves!B109*external_curves!AL39)+(Fwd_curves!C109*external_curves!AM39))/(external_curves!AH39))</f>
        <v>46.5562579470188</v>
      </c>
      <c r="H109" s="35" t="n">
        <f aca="false">external_curves!O39</f>
        <v>4.13035949216401</v>
      </c>
      <c r="I109" s="56" t="n">
        <f aca="false">F109/N109</f>
        <v>3.76480546778095</v>
      </c>
      <c r="J109" s="139" t="n">
        <f aca="false">$H109*B109</f>
        <v>124.282517119215</v>
      </c>
      <c r="K109" s="139" t="n">
        <f aca="false">$H109*C109</f>
        <v>157.986250575273</v>
      </c>
      <c r="L109" s="139" t="n">
        <f aca="false">$H109*F109</f>
        <v>245.013226894777</v>
      </c>
      <c r="M109" s="139" t="n">
        <f aca="false">$H109*G109</f>
        <v>192.294081931105</v>
      </c>
      <c r="N109" s="139" t="n">
        <f aca="false">H109*external_curves!K39</f>
        <v>15.756477613812</v>
      </c>
      <c r="O109" s="139" t="n">
        <f aca="false">H109*external_curves!Q39</f>
        <v>202.244397284178</v>
      </c>
      <c r="P109" s="139" t="n">
        <f aca="false">H109*external_curves!S39</f>
        <v>173.089643961902</v>
      </c>
      <c r="Q109" s="35" t="n">
        <f aca="false">H109*external_curves!M39</f>
        <v>5.99242658619787</v>
      </c>
      <c r="R109" s="61"/>
      <c r="S109" s="61"/>
      <c r="T109" s="61"/>
      <c r="U109" s="61"/>
      <c r="V109" s="61"/>
      <c r="W109" s="61"/>
      <c r="X109" s="61"/>
      <c r="Y109" s="61"/>
    </row>
    <row r="110" customFormat="false" ht="12.75" hidden="false" customHeight="true" outlineLevel="0" collapsed="false">
      <c r="A110" s="61" t="n">
        <v>37377</v>
      </c>
      <c r="B110" s="139" t="n">
        <f aca="false">B98*(1+$B$22)</f>
        <v>32.64</v>
      </c>
      <c r="C110" s="139" t="n">
        <f aca="false">C98*(1+$B$22)</f>
        <v>38.25</v>
      </c>
      <c r="D110" s="139"/>
      <c r="E110" s="139"/>
      <c r="F110" s="139" t="n">
        <f aca="false">$C$13*external_curves!K40</f>
        <v>57.6827516954532</v>
      </c>
      <c r="G110" s="139" t="n">
        <f aca="false">IF(swap_model!$B$37="Y",swap_model!B63,((F110*external_curves!AI40)+(Fwd_curves!B110*external_curves!AL40)+(Fwd_curves!C110*external_curves!AM40))/(external_curves!AH40))</f>
        <v>46.4744793332349</v>
      </c>
      <c r="H110" s="35" t="n">
        <f aca="false">external_curves!O40</f>
        <v>4.11609840000105</v>
      </c>
      <c r="I110" s="56" t="n">
        <f aca="false">F110/N110</f>
        <v>3.77784943139261</v>
      </c>
      <c r="J110" s="139" t="n">
        <f aca="false">$H110*B110</f>
        <v>134.349451776034</v>
      </c>
      <c r="K110" s="139" t="n">
        <f aca="false">$H110*C110</f>
        <v>157.44076380004</v>
      </c>
      <c r="L110" s="139" t="n">
        <f aca="false">$H110*F110</f>
        <v>237.427881961313</v>
      </c>
      <c r="M110" s="139" t="n">
        <f aca="false">$H110*G110</f>
        <v>191.29353002441</v>
      </c>
      <c r="N110" s="139" t="n">
        <f aca="false">H110*external_curves!K40</f>
        <v>15.2686740811134</v>
      </c>
      <c r="O110" s="139" t="n">
        <f aca="false">H110*external_curves!Q40</f>
        <v>198.424509276725</v>
      </c>
      <c r="P110" s="139" t="n">
        <f aca="false">H110*external_curves!S40</f>
        <v>151.252767864468</v>
      </c>
      <c r="Q110" s="35" t="n">
        <f aca="false">H110*external_curves!M40</f>
        <v>5.9676544143376</v>
      </c>
      <c r="R110" s="61"/>
      <c r="S110" s="61"/>
      <c r="T110" s="61"/>
      <c r="U110" s="61"/>
      <c r="V110" s="61"/>
      <c r="W110" s="61"/>
      <c r="X110" s="61"/>
      <c r="Y110" s="61"/>
    </row>
    <row r="111" customFormat="false" ht="12.75" hidden="false" customHeight="true" outlineLevel="0" collapsed="false">
      <c r="A111" s="61" t="n">
        <v>37408</v>
      </c>
      <c r="B111" s="139" t="n">
        <f aca="false">B99*(1+$B$22)</f>
        <v>32.64</v>
      </c>
      <c r="C111" s="139" t="n">
        <f aca="false">C99*(1+$B$22)</f>
        <v>38.25</v>
      </c>
      <c r="D111" s="139"/>
      <c r="E111" s="139"/>
      <c r="F111" s="139" t="n">
        <f aca="false">$C$13*external_curves!K41</f>
        <v>56.9801099424768</v>
      </c>
      <c r="G111" s="139" t="n">
        <f aca="false">IF(swap_model!$B$37="Y",swap_model!B64,((F111*external_curves!AI41)+(Fwd_curves!B111*external_curves!AL41)+(Fwd_curves!C111*external_curves!AM41))/(external_curves!AH41))</f>
        <v>45.3278266411008</v>
      </c>
      <c r="H111" s="35" t="n">
        <f aca="false">external_curves!O41</f>
        <v>4.10136785666976</v>
      </c>
      <c r="I111" s="56" t="n">
        <f aca="false">F111/N111</f>
        <v>3.79141802038365</v>
      </c>
      <c r="J111" s="139" t="n">
        <f aca="false">$H111*B111</f>
        <v>133.868646841701</v>
      </c>
      <c r="K111" s="139" t="n">
        <f aca="false">$H111*C111</f>
        <v>156.877320517618</v>
      </c>
      <c r="L111" s="139" t="n">
        <f aca="false">$H111*F111</f>
        <v>233.696391387583</v>
      </c>
      <c r="M111" s="139" t="n">
        <f aca="false">$H111*G111</f>
        <v>185.90609119851</v>
      </c>
      <c r="N111" s="139" t="n">
        <f aca="false">H111*external_curves!K41</f>
        <v>15.0287068416452</v>
      </c>
      <c r="O111" s="139" t="n">
        <f aca="false">H111*external_curves!Q41</f>
        <v>203.518797192415</v>
      </c>
      <c r="P111" s="139" t="n">
        <f aca="false">H111*external_curves!S41</f>
        <v>156.542763387905</v>
      </c>
      <c r="Q111" s="35" t="n">
        <f aca="false">H111*external_curves!M41</f>
        <v>5.94215466255228</v>
      </c>
      <c r="R111" s="61"/>
      <c r="S111" s="61"/>
      <c r="T111" s="61"/>
      <c r="U111" s="61"/>
      <c r="V111" s="61"/>
      <c r="W111" s="61"/>
      <c r="X111" s="61"/>
      <c r="Y111" s="61"/>
    </row>
    <row r="112" customFormat="false" ht="12.75" hidden="false" customHeight="true" outlineLevel="0" collapsed="false">
      <c r="A112" s="61" t="n">
        <v>37438</v>
      </c>
      <c r="B112" s="139" t="n">
        <f aca="false">B100*(1+$B$22)</f>
        <v>30.6</v>
      </c>
      <c r="C112" s="139" t="n">
        <f aca="false">C100*(1+$B$22)</f>
        <v>38.964</v>
      </c>
      <c r="D112" s="139"/>
      <c r="E112" s="139"/>
      <c r="F112" s="139" t="n">
        <f aca="false">$C$13*external_curves!K42</f>
        <v>56.7460799031159</v>
      </c>
      <c r="G112" s="139" t="n">
        <f aca="false">IF(swap_model!$B$37="Y",swap_model!B65,((F112*external_curves!AI42)+(Fwd_curves!B112*external_curves!AL42)+(Fwd_curves!C112*external_curves!AM42))/(external_curves!AH42))</f>
        <v>45.6909212424014</v>
      </c>
      <c r="H112" s="35" t="n">
        <f aca="false">external_curves!O42</f>
        <v>4.08479171813399</v>
      </c>
      <c r="I112" s="56" t="n">
        <f aca="false">F112/N112</f>
        <v>3.80680364459403</v>
      </c>
      <c r="J112" s="139" t="n">
        <f aca="false">$H112*B112</f>
        <v>124.9946265749</v>
      </c>
      <c r="K112" s="139" t="n">
        <f aca="false">$H112*C112</f>
        <v>159.159824505373</v>
      </c>
      <c r="L112" s="139" t="n">
        <f aca="false">$H112*F112</f>
        <v>231.795917224817</v>
      </c>
      <c r="M112" s="139" t="n">
        <f aca="false">$H112*G112</f>
        <v>186.637896684874</v>
      </c>
      <c r="N112" s="139" t="n">
        <f aca="false">H112*external_curves!K42</f>
        <v>14.906489853686</v>
      </c>
      <c r="O112" s="139" t="n">
        <f aca="false">H112*external_curves!Q42</f>
        <v>363.705833444922</v>
      </c>
      <c r="P112" s="139" t="n">
        <f aca="false">H112*external_curves!S42</f>
        <v>271.672900478929</v>
      </c>
      <c r="Q112" s="35" t="n">
        <f aca="false">H112*external_curves!M42</f>
        <v>5.91391599097434</v>
      </c>
      <c r="R112" s="61"/>
      <c r="S112" s="61"/>
      <c r="T112" s="61"/>
      <c r="U112" s="61"/>
      <c r="V112" s="61"/>
      <c r="W112" s="61"/>
      <c r="X112" s="61"/>
      <c r="Y112" s="61"/>
    </row>
    <row r="113" customFormat="false" ht="12.75" hidden="false" customHeight="true" outlineLevel="0" collapsed="false">
      <c r="A113" s="61" t="n">
        <v>37469</v>
      </c>
      <c r="B113" s="139" t="n">
        <f aca="false">B101*(1+$B$22)</f>
        <v>30.6</v>
      </c>
      <c r="C113" s="139" t="n">
        <f aca="false">C101*(1+$B$22)</f>
        <v>41.0448</v>
      </c>
      <c r="D113" s="139"/>
      <c r="E113" s="139"/>
      <c r="F113" s="139" t="n">
        <f aca="false">$C$13*external_curves!K43</f>
        <v>56.6375330866072</v>
      </c>
      <c r="G113" s="139" t="n">
        <f aca="false">IF(swap_model!$B$37="Y",swap_model!B66,((F113*external_curves!AI43)+(Fwd_curves!B113*external_curves!AL43)+(Fwd_curves!C113*external_curves!AM43))/(external_curves!AH43))</f>
        <v>45.9511941485023</v>
      </c>
      <c r="H113" s="35" t="n">
        <f aca="false">external_curves!O43</f>
        <v>4.06498082836543</v>
      </c>
      <c r="I113" s="56" t="n">
        <f aca="false">F113/N113</f>
        <v>3.82535629479286</v>
      </c>
      <c r="J113" s="139" t="n">
        <f aca="false">$H113*B113</f>
        <v>124.388413347982</v>
      </c>
      <c r="K113" s="139" t="n">
        <f aca="false">$H113*C113</f>
        <v>166.846325104093</v>
      </c>
      <c r="L113" s="139" t="n">
        <f aca="false">$H113*F113</f>
        <v>230.230486162971</v>
      </c>
      <c r="M113" s="139" t="n">
        <f aca="false">$H113*G113</f>
        <v>186.79072325416</v>
      </c>
      <c r="N113" s="139" t="n">
        <f aca="false">H113*external_curves!K43</f>
        <v>14.8058190458502</v>
      </c>
      <c r="O113" s="139" t="n">
        <f aca="false">H113*external_curves!Q43</f>
        <v>441.04380209008</v>
      </c>
      <c r="P113" s="139" t="n">
        <f aca="false">H113*external_curves!S43</f>
        <v>345.38788270559</v>
      </c>
      <c r="Q113" s="35" t="n">
        <f aca="false">H113*external_curves!M43</f>
        <v>5.88058402786774</v>
      </c>
      <c r="R113" s="61"/>
      <c r="S113" s="61"/>
      <c r="T113" s="61"/>
      <c r="U113" s="61"/>
      <c r="V113" s="61"/>
      <c r="W113" s="61"/>
      <c r="X113" s="61"/>
      <c r="Y113" s="61"/>
    </row>
    <row r="114" customFormat="false" ht="12.75" hidden="false" customHeight="true" outlineLevel="0" collapsed="false">
      <c r="A114" s="61" t="n">
        <v>37500</v>
      </c>
      <c r="B114" s="139" t="n">
        <f aca="false">B102*(1+$B$22)</f>
        <v>30.6</v>
      </c>
      <c r="C114" s="139" t="n">
        <f aca="false">C102*(1+$B$22)</f>
        <v>41.0448</v>
      </c>
      <c r="D114" s="139"/>
      <c r="E114" s="139"/>
      <c r="F114" s="139" t="n">
        <f aca="false">$C$13*external_curves!K44</f>
        <v>56.2753063967999</v>
      </c>
      <c r="G114" s="139" t="n">
        <f aca="false">IF(swap_model!$B$37="Y",swap_model!B67,((F114*external_curves!AI44)+(Fwd_curves!B114*external_curves!AL44)+(Fwd_curves!C114*external_curves!AM44))/(external_curves!AH44))</f>
        <v>45.71524965184</v>
      </c>
      <c r="H114" s="35" t="n">
        <f aca="false">external_curves!O44</f>
        <v>4.04525776345876</v>
      </c>
      <c r="I114" s="56" t="n">
        <f aca="false">F114/N114</f>
        <v>3.84400720776431</v>
      </c>
      <c r="J114" s="139" t="n">
        <f aca="false">$H114*B114</f>
        <v>123.784887561838</v>
      </c>
      <c r="K114" s="139" t="n">
        <f aca="false">$H114*C114</f>
        <v>166.036795849612</v>
      </c>
      <c r="L114" s="139" t="n">
        <f aca="false">$H114*F114</f>
        <v>227.648120092675</v>
      </c>
      <c r="M114" s="139" t="n">
        <f aca="false">$H114*G114</f>
        <v>184.929968562561</v>
      </c>
      <c r="N114" s="139" t="n">
        <f aca="false">H114*external_curves!K44</f>
        <v>14.6397504882749</v>
      </c>
      <c r="O114" s="139" t="n">
        <f aca="false">H114*external_curves!Q44</f>
        <v>377.159452267362</v>
      </c>
      <c r="P114" s="139" t="n">
        <f aca="false">H114*external_curves!S44</f>
        <v>293.857891072135</v>
      </c>
      <c r="Q114" s="35" t="n">
        <f aca="false">H114*external_curves!M44</f>
        <v>5.84743336848623</v>
      </c>
      <c r="R114" s="61"/>
      <c r="S114" s="61"/>
      <c r="T114" s="61"/>
      <c r="U114" s="61"/>
      <c r="V114" s="61"/>
      <c r="W114" s="61"/>
      <c r="X114" s="61"/>
      <c r="Y114" s="61"/>
    </row>
    <row r="115" customFormat="false" ht="12.75" hidden="false" customHeight="true" outlineLevel="0" collapsed="false">
      <c r="A115" s="61" t="n">
        <v>37530</v>
      </c>
      <c r="B115" s="139" t="n">
        <f aca="false">B103*(1+$B$22)</f>
        <v>30.6</v>
      </c>
      <c r="C115" s="139" t="n">
        <f aca="false">C103*(1+$B$22)</f>
        <v>40.8</v>
      </c>
      <c r="D115" s="139"/>
      <c r="E115" s="139"/>
      <c r="F115" s="139" t="n">
        <f aca="false">$C$13*external_curves!K45</f>
        <v>56.59218646051</v>
      </c>
      <c r="G115" s="139" t="n">
        <f aca="false">IF(swap_model!$B$37="Y",swap_model!B68,((F115*external_curves!AI45)+(Fwd_curves!B115*external_curves!AL45)+(Fwd_curves!C115*external_curves!AM45))/(external_curves!AH45))</f>
        <v>46.0886083568114</v>
      </c>
      <c r="H115" s="35" t="n">
        <f aca="false">external_curves!O45</f>
        <v>4.02625422183379</v>
      </c>
      <c r="I115" s="56" t="n">
        <f aca="false">F115/N115</f>
        <v>3.86215056060659</v>
      </c>
      <c r="J115" s="139" t="n">
        <f aca="false">$H115*B115</f>
        <v>123.203379188114</v>
      </c>
      <c r="K115" s="139" t="n">
        <f aca="false">$H115*C115</f>
        <v>164.271172250818</v>
      </c>
      <c r="L115" s="139" t="n">
        <f aca="false">$H115*F115</f>
        <v>227.854529659433</v>
      </c>
      <c r="M115" s="139" t="n">
        <f aca="false">$H115*G115</f>
        <v>185.564453975056</v>
      </c>
      <c r="N115" s="139" t="n">
        <f aca="false">H115*external_curves!K45</f>
        <v>14.6530244153976</v>
      </c>
      <c r="O115" s="139" t="n">
        <f aca="false">H115*external_curves!Q45</f>
        <v>283.508881521582</v>
      </c>
      <c r="P115" s="139" t="n">
        <f aca="false">H115*external_curves!S45</f>
        <v>245.17616701974</v>
      </c>
      <c r="Q115" s="35" t="n">
        <f aca="false">H115*external_curves!M45</f>
        <v>5.81556680044272</v>
      </c>
      <c r="R115" s="61"/>
      <c r="S115" s="61"/>
      <c r="T115" s="61"/>
      <c r="U115" s="61"/>
      <c r="V115" s="61"/>
      <c r="W115" s="61"/>
      <c r="X115" s="61"/>
      <c r="Y115" s="61"/>
    </row>
    <row r="116" customFormat="false" ht="12.75" hidden="false" customHeight="true" outlineLevel="0" collapsed="false">
      <c r="A116" s="61" t="n">
        <v>37561</v>
      </c>
      <c r="B116" s="139" t="n">
        <f aca="false">B104*(1+$B$22)</f>
        <v>33.66</v>
      </c>
      <c r="C116" s="139" t="n">
        <f aca="false">C104*(1+$B$22)</f>
        <v>40.8</v>
      </c>
      <c r="D116" s="139"/>
      <c r="E116" s="139"/>
      <c r="F116" s="139" t="n">
        <f aca="false">$C$13*external_curves!K46</f>
        <v>58.4291674782361</v>
      </c>
      <c r="G116" s="139" t="n">
        <f aca="false">IF(swap_model!$B$37="Y",swap_model!B69,((F116*external_curves!AI46)+(Fwd_curves!B116*external_curves!AL46)+(Fwd_curves!C116*external_curves!AM46))/(external_curves!AH46))</f>
        <v>47.3609448231769</v>
      </c>
      <c r="H116" s="35" t="n">
        <f aca="false">external_curves!O46</f>
        <v>4.0067029653797</v>
      </c>
      <c r="I116" s="56" t="n">
        <f aca="false">F116/N116</f>
        <v>3.88099645378289</v>
      </c>
      <c r="J116" s="139" t="n">
        <f aca="false">$H116*B116</f>
        <v>134.865621814681</v>
      </c>
      <c r="K116" s="139" t="n">
        <f aca="false">$H116*C116</f>
        <v>163.473480987492</v>
      </c>
      <c r="L116" s="139" t="n">
        <f aca="false">$H116*F116</f>
        <v>234.108318599716</v>
      </c>
      <c r="M116" s="139" t="n">
        <f aca="false">$H116*G116</f>
        <v>189.761238066207</v>
      </c>
      <c r="N116" s="139" t="n">
        <f aca="false">H116*external_curves!K46</f>
        <v>15.0551973376023</v>
      </c>
      <c r="O116" s="139" t="n">
        <f aca="false">H116*external_curves!Q46</f>
        <v>258.783920906649</v>
      </c>
      <c r="P116" s="139" t="n">
        <f aca="false">H116*external_curves!S46</f>
        <v>223.066599482941</v>
      </c>
      <c r="Q116" s="35" t="n">
        <f aca="false">H116*external_curves!M46</f>
        <v>5.78288091411507</v>
      </c>
      <c r="R116" s="61"/>
      <c r="S116" s="61"/>
      <c r="T116" s="61"/>
      <c r="U116" s="61"/>
      <c r="V116" s="61"/>
      <c r="W116" s="61"/>
      <c r="X116" s="61"/>
      <c r="Y116" s="61"/>
    </row>
    <row r="117" customFormat="false" ht="12.75" hidden="false" customHeight="true" outlineLevel="0" collapsed="false">
      <c r="A117" s="61" t="n">
        <v>37591</v>
      </c>
      <c r="B117" s="139" t="n">
        <f aca="false">B105*(1+$B$22)</f>
        <v>33.66</v>
      </c>
      <c r="C117" s="139" t="n">
        <f aca="false">C105*(1+$B$22)</f>
        <v>40.8</v>
      </c>
      <c r="D117" s="139"/>
      <c r="E117" s="139"/>
      <c r="F117" s="139" t="n">
        <f aca="false">$C$13*external_curves!K47</f>
        <v>60.518374132141</v>
      </c>
      <c r="G117" s="139" t="n">
        <f aca="false">IF(swap_model!$B$37="Y",swap_model!B70,((F117*external_curves!AI47)+(Fwd_curves!B117*external_curves!AL47)+(Fwd_curves!C117*external_curves!AM47))/(external_curves!AH47))</f>
        <v>48.4400909872495</v>
      </c>
      <c r="H117" s="35" t="n">
        <f aca="false">external_curves!O47</f>
        <v>3.98786504553264</v>
      </c>
      <c r="I117" s="56" t="n">
        <f aca="false">F117/N117</f>
        <v>3.89932954662538</v>
      </c>
      <c r="J117" s="139" t="n">
        <f aca="false">$H117*B117</f>
        <v>134.231537432629</v>
      </c>
      <c r="K117" s="139" t="n">
        <f aca="false">$H117*C117</f>
        <v>162.704893857732</v>
      </c>
      <c r="L117" s="139" t="n">
        <f aca="false">$H117*F117</f>
        <v>241.339108814032</v>
      </c>
      <c r="M117" s="139" t="n">
        <f aca="false">$H117*G117</f>
        <v>193.172545650473</v>
      </c>
      <c r="N117" s="139" t="n">
        <f aca="false">H117*external_curves!K47</f>
        <v>15.520199923732</v>
      </c>
      <c r="O117" s="139" t="n">
        <f aca="false">H117*external_curves!Q47</f>
        <v>257.376294950229</v>
      </c>
      <c r="P117" s="139" t="n">
        <f aca="false">H117*external_curves!S47</f>
        <v>215.322860561774</v>
      </c>
      <c r="Q117" s="35" t="n">
        <f aca="false">H117*external_curves!M47</f>
        <v>5.75142558547999</v>
      </c>
      <c r="R117" s="61"/>
      <c r="S117" s="61"/>
      <c r="T117" s="61"/>
      <c r="U117" s="61"/>
      <c r="V117" s="61"/>
      <c r="W117" s="61"/>
      <c r="X117" s="61"/>
      <c r="Y117" s="61"/>
    </row>
    <row r="118" customFormat="false" ht="12.75" hidden="false" customHeight="true" outlineLevel="0" collapsed="false">
      <c r="A118" s="61" t="n">
        <v>37622</v>
      </c>
      <c r="B118" s="139" t="n">
        <f aca="false">B106*(1+$B$22)</f>
        <v>34.3332</v>
      </c>
      <c r="C118" s="139" t="n">
        <f aca="false">C106*(1+$B$22)</f>
        <v>40.0554</v>
      </c>
      <c r="D118" s="139"/>
      <c r="E118" s="139"/>
      <c r="F118" s="139" t="n">
        <f aca="false">$C$14*external_curves!K48</f>
        <v>59.4403437825254</v>
      </c>
      <c r="G118" s="139" t="n">
        <f aca="false">IF(swap_model!$B$37="Y",swap_model!B71,((F118*external_curves!AI48)+(Fwd_curves!B118*external_curves!AL48)+(Fwd_curves!C118*external_curves!AM48))/(external_curves!AH48))</f>
        <v>48.2284840214642</v>
      </c>
      <c r="H118" s="35" t="n">
        <f aca="false">external_curves!O48</f>
        <v>3.96848426781117</v>
      </c>
      <c r="I118" s="56" t="n">
        <f aca="false">F118/N118</f>
        <v>3.83017771376567</v>
      </c>
      <c r="J118" s="139" t="n">
        <f aca="false">$H118*B118</f>
        <v>136.250764063614</v>
      </c>
      <c r="K118" s="139" t="n">
        <f aca="false">$H118*C118</f>
        <v>158.959224740883</v>
      </c>
      <c r="L118" s="139" t="n">
        <f aca="false">$H118*F118</f>
        <v>235.888069174239</v>
      </c>
      <c r="M118" s="139" t="n">
        <f aca="false">$H118*G118</f>
        <v>191.393980099563</v>
      </c>
      <c r="N118" s="139" t="n">
        <f aca="false">H118*external_curves!K48</f>
        <v>15.5189519193578</v>
      </c>
      <c r="O118" s="139" t="n">
        <f aca="false">H118*external_curves!Q48</f>
        <v>180.149803632236</v>
      </c>
      <c r="P118" s="139" t="n">
        <f aca="false">H118*external_curves!S48</f>
        <v>165.037390509648</v>
      </c>
      <c r="Q118" s="35" t="n">
        <f aca="false">H118*external_curves!M48</f>
        <v>5.71904138515035</v>
      </c>
      <c r="R118" s="61"/>
      <c r="S118" s="61"/>
      <c r="T118" s="61"/>
      <c r="U118" s="61"/>
      <c r="V118" s="61"/>
      <c r="W118" s="61"/>
      <c r="X118" s="61"/>
      <c r="Y118" s="61"/>
    </row>
    <row r="119" customFormat="false" ht="12.75" hidden="false" customHeight="true" outlineLevel="0" collapsed="false">
      <c r="A119" s="61" t="n">
        <v>37653</v>
      </c>
      <c r="B119" s="139" t="n">
        <f aca="false">B107*(1+$B$22)</f>
        <v>31.212</v>
      </c>
      <c r="C119" s="139" t="n">
        <f aca="false">C107*(1+$B$22)</f>
        <v>39.015</v>
      </c>
      <c r="D119" s="139"/>
      <c r="E119" s="139"/>
      <c r="F119" s="139" t="n">
        <f aca="false">$C$14*external_curves!K49</f>
        <v>56.7146010151486</v>
      </c>
      <c r="G119" s="139" t="n">
        <f aca="false">IF(swap_model!$B$37="Y",swap_model!B72,((F119*external_curves!AI49)+(Fwd_curves!B119*external_curves!AL49)+(Fwd_curves!C119*external_curves!AM49))/(external_curves!AH49))</f>
        <v>45.5855242929279</v>
      </c>
      <c r="H119" s="35" t="n">
        <f aca="false">external_curves!O49</f>
        <v>3.94918962000445</v>
      </c>
      <c r="I119" s="56" t="n">
        <f aca="false">F119/N119</f>
        <v>3.84889090232717</v>
      </c>
      <c r="J119" s="139" t="n">
        <f aca="false">$H119*B119</f>
        <v>123.262106419579</v>
      </c>
      <c r="K119" s="139" t="n">
        <f aca="false">$H119*C119</f>
        <v>154.077633024474</v>
      </c>
      <c r="L119" s="139" t="n">
        <f aca="false">$H119*F119</f>
        <v>223.976713631719</v>
      </c>
      <c r="M119" s="139" t="n">
        <f aca="false">$H119*G119</f>
        <v>180.025879360091</v>
      </c>
      <c r="N119" s="139" t="n">
        <f aca="false">H119*external_curves!K49</f>
        <v>14.7353101073499</v>
      </c>
      <c r="O119" s="139" t="n">
        <f aca="false">H119*external_curves!Q49</f>
        <v>167.759425111421</v>
      </c>
      <c r="P119" s="139" t="n">
        <f aca="false">H119*external_curves!S49</f>
        <v>156.589003342501</v>
      </c>
      <c r="Q119" s="35" t="n">
        <f aca="false">H119*external_curves!M49</f>
        <v>5.6867601732685</v>
      </c>
      <c r="R119" s="61"/>
      <c r="S119" s="61"/>
      <c r="T119" s="61"/>
      <c r="U119" s="61"/>
      <c r="V119" s="61"/>
      <c r="W119" s="61"/>
      <c r="X119" s="61"/>
      <c r="Y119" s="61"/>
    </row>
    <row r="120" customFormat="false" ht="12.75" hidden="false" customHeight="true" outlineLevel="0" collapsed="false">
      <c r="A120" s="61" t="n">
        <v>37681</v>
      </c>
      <c r="B120" s="139" t="n">
        <f aca="false">B108*(1+$B$22)</f>
        <v>32.2524</v>
      </c>
      <c r="C120" s="139" t="n">
        <f aca="false">C108*(1+$B$22)</f>
        <v>39.015</v>
      </c>
      <c r="D120" s="139"/>
      <c r="E120" s="139"/>
      <c r="F120" s="139" t="n">
        <f aca="false">$C$14*external_curves!K50</f>
        <v>53.8531420854769</v>
      </c>
      <c r="G120" s="139" t="n">
        <f aca="false">IF(swap_model!$B$37="Y",swap_model!B73,((F120*external_curves!AI50)+(Fwd_curves!B120*external_curves!AL50)+(Fwd_curves!C120*external_curves!AM50))/(external_curves!AH50))</f>
        <v>44.1890577160218</v>
      </c>
      <c r="H120" s="35" t="n">
        <f aca="false">external_curves!O50</f>
        <v>3.93183594379888</v>
      </c>
      <c r="I120" s="56" t="n">
        <f aca="false">F120/N120</f>
        <v>3.86587848965895</v>
      </c>
      <c r="J120" s="139" t="n">
        <f aca="false">$H120*B120</f>
        <v>126.811145593779</v>
      </c>
      <c r="K120" s="139" t="n">
        <f aca="false">$H120*C120</f>
        <v>153.400579347313</v>
      </c>
      <c r="L120" s="139" t="n">
        <f aca="false">$H120*F120</f>
        <v>211.741719738186</v>
      </c>
      <c r="M120" s="139" t="n">
        <f aca="false">$H120*G120</f>
        <v>173.744125450458</v>
      </c>
      <c r="N120" s="139" t="n">
        <f aca="false">H120*external_curves!K50</f>
        <v>13.9303762985649</v>
      </c>
      <c r="O120" s="139" t="n">
        <f aca="false">H120*external_curves!Q50</f>
        <v>155.588207454819</v>
      </c>
      <c r="P120" s="139" t="n">
        <f aca="false">H120*external_curves!S50</f>
        <v>144.135820337177</v>
      </c>
      <c r="Q120" s="35" t="n">
        <f aca="false">H120*external_curves!M50</f>
        <v>5.65775299835706</v>
      </c>
      <c r="R120" s="61"/>
      <c r="S120" s="61"/>
      <c r="T120" s="61"/>
      <c r="U120" s="61"/>
      <c r="V120" s="61"/>
      <c r="W120" s="61"/>
      <c r="X120" s="61"/>
      <c r="Y120" s="61"/>
    </row>
    <row r="121" customFormat="false" ht="12.75" hidden="false" customHeight="true" outlineLevel="0" collapsed="false">
      <c r="A121" s="61" t="n">
        <v>37712</v>
      </c>
      <c r="B121" s="139" t="n">
        <f aca="false">B109*(1+$B$22)</f>
        <v>30.6918</v>
      </c>
      <c r="C121" s="139" t="n">
        <f aca="false">C109*(1+$B$22)</f>
        <v>39.015</v>
      </c>
      <c r="D121" s="139"/>
      <c r="E121" s="139"/>
      <c r="F121" s="139" t="n">
        <f aca="false">$C$14*external_curves!K51</f>
        <v>49.429241896764</v>
      </c>
      <c r="G121" s="139" t="n">
        <f aca="false">IF(swap_model!$B$37="Y",swap_model!B74,((F121*external_curves!AI51)+(Fwd_curves!B121*external_curves!AL51)+(Fwd_curves!C121*external_curves!AM51))/(external_curves!AH51))</f>
        <v>42.071847149529</v>
      </c>
      <c r="H121" s="35" t="n">
        <f aca="false">external_curves!O51</f>
        <v>3.91270428211901</v>
      </c>
      <c r="I121" s="56" t="n">
        <f aca="false">F121/N121</f>
        <v>3.88478119071348</v>
      </c>
      <c r="J121" s="139" t="n">
        <f aca="false">$H121*B121</f>
        <v>120.08793728594</v>
      </c>
      <c r="K121" s="139" t="n">
        <f aca="false">$H121*C121</f>
        <v>152.654157566873</v>
      </c>
      <c r="L121" s="139" t="n">
        <f aca="false">$H121*F121</f>
        <v>193.402006431365</v>
      </c>
      <c r="M121" s="139" t="n">
        <f aca="false">$H121*G121</f>
        <v>164.614696498619</v>
      </c>
      <c r="N121" s="139" t="n">
        <f aca="false">H121*external_curves!K51</f>
        <v>12.7238162125898</v>
      </c>
      <c r="O121" s="139" t="n">
        <f aca="false">H121*external_curves!Q51</f>
        <v>153.307044024207</v>
      </c>
      <c r="P121" s="139" t="n">
        <f aca="false">H121*external_curves!S51</f>
        <v>130.498581483417</v>
      </c>
      <c r="Q121" s="35" t="n">
        <f aca="false">H121*external_curves!M51</f>
        <v>5.62594656969568</v>
      </c>
      <c r="R121" s="61"/>
      <c r="S121" s="61"/>
      <c r="T121" s="61"/>
      <c r="U121" s="61"/>
      <c r="V121" s="61"/>
      <c r="W121" s="61"/>
      <c r="X121" s="61"/>
      <c r="Y121" s="61"/>
    </row>
    <row r="122" customFormat="false" ht="12.75" hidden="false" customHeight="true" outlineLevel="0" collapsed="false">
      <c r="A122" s="61" t="n">
        <v>37742</v>
      </c>
      <c r="B122" s="139" t="n">
        <f aca="false">B110*(1+$B$22)</f>
        <v>33.2928</v>
      </c>
      <c r="C122" s="139" t="n">
        <f aca="false">C110*(1+$B$22)</f>
        <v>39.015</v>
      </c>
      <c r="D122" s="139"/>
      <c r="E122" s="139"/>
      <c r="F122" s="139" t="n">
        <f aca="false">$C$14*external_curves!K52</f>
        <v>48.8191025850446</v>
      </c>
      <c r="G122" s="139" t="n">
        <f aca="false">IF(swap_model!$B$37="Y",swap_model!B75,((F122*external_curves!AI52)+(Fwd_curves!B122*external_curves!AL52)+(Fwd_curves!C122*external_curves!AM52))/(external_curves!AH52))</f>
        <v>42.2998614380856</v>
      </c>
      <c r="H122" s="35" t="n">
        <f aca="false">external_curves!O52</f>
        <v>3.89427084438037</v>
      </c>
      <c r="I122" s="56" t="n">
        <f aca="false">F122/N122</f>
        <v>3.90316970940384</v>
      </c>
      <c r="J122" s="139" t="n">
        <f aca="false">$H122*B122</f>
        <v>129.651180367787</v>
      </c>
      <c r="K122" s="139" t="n">
        <f aca="false">$H122*C122</f>
        <v>151.9349769935</v>
      </c>
      <c r="L122" s="139" t="n">
        <f aca="false">$H122*F122</f>
        <v>190.114807845753</v>
      </c>
      <c r="M122" s="139" t="n">
        <f aca="false">$H122*G122</f>
        <v>164.727117119666</v>
      </c>
      <c r="N122" s="139" t="n">
        <f aca="false">H122*external_curves!K52</f>
        <v>12.5075531477469</v>
      </c>
      <c r="O122" s="139" t="n">
        <f aca="false">H122*external_curves!Q52</f>
        <v>149.680418381252</v>
      </c>
      <c r="P122" s="139" t="n">
        <f aca="false">H122*external_curves!S52</f>
        <v>110.744857836596</v>
      </c>
      <c r="Q122" s="35" t="n">
        <f aca="false">H122*external_curves!M52</f>
        <v>5.59552965911221</v>
      </c>
      <c r="R122" s="61"/>
      <c r="S122" s="61"/>
      <c r="T122" s="61"/>
      <c r="U122" s="61"/>
      <c r="V122" s="61"/>
      <c r="W122" s="61"/>
      <c r="X122" s="61"/>
      <c r="Y122" s="61"/>
    </row>
    <row r="123" customFormat="false" ht="12.75" hidden="false" customHeight="true" outlineLevel="0" collapsed="false">
      <c r="A123" s="61" t="n">
        <v>37773</v>
      </c>
      <c r="B123" s="139" t="n">
        <f aca="false">B111*(1+$B$22)</f>
        <v>33.2928</v>
      </c>
      <c r="C123" s="139" t="n">
        <f aca="false">C111*(1+$B$22)</f>
        <v>39.015</v>
      </c>
      <c r="D123" s="139"/>
      <c r="E123" s="139"/>
      <c r="F123" s="139" t="n">
        <f aca="false">$C$14*external_curves!K53</f>
        <v>48.8459717563292</v>
      </c>
      <c r="G123" s="139" t="n">
        <f aca="false">IF(swap_model!$B$37="Y",swap_model!B76,((F123*external_curves!AI53)+(Fwd_curves!B123*external_curves!AL53)+(Fwd_curves!C123*external_curves!AM53))/(external_curves!AH53))</f>
        <v>42.2676068196203</v>
      </c>
      <c r="H123" s="35" t="n">
        <f aca="false">external_curves!O53</f>
        <v>3.8753064069222</v>
      </c>
      <c r="I123" s="56" t="n">
        <f aca="false">F123/N123</f>
        <v>3.92227050043044</v>
      </c>
      <c r="J123" s="139" t="n">
        <f aca="false">$H123*B123</f>
        <v>129.019801144379</v>
      </c>
      <c r="K123" s="139" t="n">
        <f aca="false">$H123*C123</f>
        <v>151.19507946607</v>
      </c>
      <c r="L123" s="139" t="n">
        <f aca="false">$H123*F123</f>
        <v>189.293107299643</v>
      </c>
      <c r="M123" s="139" t="n">
        <f aca="false">$H123*G123</f>
        <v>163.799927513343</v>
      </c>
      <c r="N123" s="139" t="n">
        <f aca="false">H123*external_curves!K53</f>
        <v>12.4534939012923</v>
      </c>
      <c r="O123" s="139" t="n">
        <f aca="false">H123*external_curves!Q53</f>
        <v>154.408884801013</v>
      </c>
      <c r="P123" s="139" t="n">
        <f aca="false">H123*external_curves!S53</f>
        <v>115.134312600876</v>
      </c>
      <c r="Q123" s="35" t="n">
        <f aca="false">H123*external_curves!M53</f>
        <v>5.56428413697346</v>
      </c>
      <c r="R123" s="61"/>
      <c r="S123" s="61"/>
      <c r="T123" s="61"/>
      <c r="U123" s="61"/>
      <c r="V123" s="61"/>
      <c r="W123" s="61"/>
      <c r="X123" s="61"/>
      <c r="Y123" s="61"/>
    </row>
    <row r="124" customFormat="false" ht="12.75" hidden="false" customHeight="true" outlineLevel="0" collapsed="false">
      <c r="A124" s="61" t="n">
        <v>37803</v>
      </c>
      <c r="B124" s="139" t="n">
        <f aca="false">B112*(1+$B$22)</f>
        <v>31.212</v>
      </c>
      <c r="C124" s="139" t="n">
        <f aca="false">C112*(1+$B$22)</f>
        <v>39.74328</v>
      </c>
      <c r="D124" s="139"/>
      <c r="E124" s="139"/>
      <c r="F124" s="139" t="n">
        <f aca="false">$C$14*external_curves!K54</f>
        <v>50.8653536402221</v>
      </c>
      <c r="G124" s="139" t="n">
        <f aca="false">IF(swap_model!$B$37="Y",swap_model!B77,((F124*external_curves!AI54)+(Fwd_curves!B124*external_curves!AL54)+(Fwd_curves!C124*external_curves!AM54))/(external_curves!AH54))</f>
        <v>43.1346342736583</v>
      </c>
      <c r="H124" s="35" t="n">
        <f aca="false">external_curves!O54</f>
        <v>3.85678974210756</v>
      </c>
      <c r="I124" s="56" t="n">
        <f aca="false">F124/N124</f>
        <v>3.94110154205447</v>
      </c>
      <c r="J124" s="139" t="n">
        <f aca="false">$H124*B124</f>
        <v>120.378121430661</v>
      </c>
      <c r="K124" s="139" t="n">
        <f aca="false">$H124*C124</f>
        <v>153.281474621709</v>
      </c>
      <c r="L124" s="139" t="n">
        <f aca="false">$H124*F124</f>
        <v>196.176974148282</v>
      </c>
      <c r="M124" s="139" t="n">
        <f aca="false">$H124*G124</f>
        <v>166.361214996206</v>
      </c>
      <c r="N124" s="139" t="n">
        <f aca="false">H124*external_curves!K54</f>
        <v>12.9063798781765</v>
      </c>
      <c r="O124" s="139" t="n">
        <f aca="false">H124*external_curves!Q54</f>
        <v>309.754861510714</v>
      </c>
      <c r="P124" s="139" t="n">
        <f aca="false">H124*external_curves!S54</f>
        <v>226.842957861518</v>
      </c>
      <c r="Q124" s="35" t="n">
        <f aca="false">H124*external_curves!M54</f>
        <v>5.53380726236202</v>
      </c>
      <c r="R124" s="61"/>
      <c r="S124" s="61"/>
      <c r="T124" s="61"/>
      <c r="U124" s="61"/>
      <c r="V124" s="61"/>
      <c r="W124" s="61"/>
      <c r="X124" s="61"/>
      <c r="Y124" s="61"/>
    </row>
    <row r="125" customFormat="false" ht="12.75" hidden="false" customHeight="true" outlineLevel="0" collapsed="false">
      <c r="A125" s="61" t="n">
        <v>37834</v>
      </c>
      <c r="B125" s="139" t="n">
        <f aca="false">B113*(1+$B$22)</f>
        <v>31.212</v>
      </c>
      <c r="C125" s="139" t="n">
        <f aca="false">C113*(1+$B$22)</f>
        <v>41.865696</v>
      </c>
      <c r="D125" s="139"/>
      <c r="E125" s="139"/>
      <c r="F125" s="139" t="n">
        <f aca="false">$C$14*external_curves!K55</f>
        <v>50.7661472204239</v>
      </c>
      <c r="G125" s="139" t="n">
        <f aca="false">IF(swap_model!$B$37="Y",swap_model!B78,((F125*external_curves!AI55)+(Fwd_curves!B125*external_curves!AL55)+(Fwd_curves!C125*external_curves!AM55))/(external_curves!AH55))</f>
        <v>43.4795813253527</v>
      </c>
      <c r="H125" s="35" t="n">
        <f aca="false">external_curves!O55</f>
        <v>3.83749263503742</v>
      </c>
      <c r="I125" s="56" t="n">
        <f aca="false">F125/N125</f>
        <v>3.96091965394789</v>
      </c>
      <c r="J125" s="139" t="n">
        <f aca="false">$H125*B125</f>
        <v>119.775820124788</v>
      </c>
      <c r="K125" s="139" t="n">
        <f aca="false">$H125*C125</f>
        <v>160.659300060716</v>
      </c>
      <c r="L125" s="139" t="n">
        <f aca="false">$H125*F125</f>
        <v>194.814716067602</v>
      </c>
      <c r="M125" s="139" t="n">
        <f aca="false">$H125*G125</f>
        <v>166.852573110552</v>
      </c>
      <c r="N125" s="139" t="n">
        <f aca="false">H125*external_curves!K55</f>
        <v>12.8167576360265</v>
      </c>
      <c r="O125" s="139" t="n">
        <f aca="false">H125*external_curves!Q55</f>
        <v>382.255935115785</v>
      </c>
      <c r="P125" s="139" t="n">
        <f aca="false">H125*external_curves!S55</f>
        <v>293.139128596276</v>
      </c>
      <c r="Q125" s="35" t="n">
        <f aca="false">H125*external_curves!M55</f>
        <v>5.50206455726211</v>
      </c>
      <c r="R125" s="61"/>
      <c r="S125" s="61"/>
      <c r="T125" s="61"/>
      <c r="U125" s="61"/>
      <c r="V125" s="61"/>
      <c r="W125" s="61"/>
      <c r="X125" s="61"/>
      <c r="Y125" s="61"/>
    </row>
    <row r="126" customFormat="false" ht="12.75" hidden="false" customHeight="true" outlineLevel="0" collapsed="false">
      <c r="A126" s="61" t="n">
        <v>37865</v>
      </c>
      <c r="B126" s="139" t="n">
        <f aca="false">B114*(1+$B$22)</f>
        <v>31.212</v>
      </c>
      <c r="C126" s="139" t="n">
        <f aca="false">C114*(1+$B$22)</f>
        <v>41.865696</v>
      </c>
      <c r="D126" s="139"/>
      <c r="E126" s="139"/>
      <c r="F126" s="139" t="n">
        <f aca="false">$C$14*external_curves!K56</f>
        <v>50.4211842669938</v>
      </c>
      <c r="G126" s="139" t="n">
        <f aca="false">IF(swap_model!$B$37="Y",swap_model!B79,((F126*external_curves!AI56)+(Fwd_curves!B126*external_curves!AL56)+(Fwd_curves!C126*external_curves!AM56))/(external_curves!AH56))</f>
        <v>43.4441423527525</v>
      </c>
      <c r="H126" s="35" t="n">
        <f aca="false">external_curves!O56</f>
        <v>3.81828811392269</v>
      </c>
      <c r="I126" s="56" t="n">
        <f aca="false">F126/N126</f>
        <v>3.98084155686837</v>
      </c>
      <c r="J126" s="139" t="n">
        <f aca="false">$H126*B126</f>
        <v>119.176408611755</v>
      </c>
      <c r="K126" s="139" t="n">
        <f aca="false">$H126*C126</f>
        <v>159.855289417901</v>
      </c>
      <c r="L126" s="139" t="n">
        <f aca="false">$H126*F126</f>
        <v>192.522608576568</v>
      </c>
      <c r="M126" s="139" t="n">
        <f aca="false">$H126*G126</f>
        <v>165.88225236508</v>
      </c>
      <c r="N126" s="139" t="n">
        <f aca="false">H126*external_curves!K56</f>
        <v>12.6659610905637</v>
      </c>
      <c r="O126" s="139" t="n">
        <f aca="false">H126*external_curves!Q56</f>
        <v>317.289808473031</v>
      </c>
      <c r="P126" s="139" t="n">
        <f aca="false">H126*external_curves!S56</f>
        <v>246.750570401584</v>
      </c>
      <c r="Q126" s="35" t="n">
        <f aca="false">H126*external_curves!M56</f>
        <v>5.47051393919019</v>
      </c>
      <c r="R126" s="61"/>
      <c r="S126" s="61"/>
      <c r="T126" s="61"/>
      <c r="U126" s="61"/>
      <c r="V126" s="61"/>
      <c r="W126" s="61"/>
      <c r="X126" s="61"/>
      <c r="Y126" s="61"/>
    </row>
    <row r="127" customFormat="false" ht="12.75" hidden="false" customHeight="true" outlineLevel="0" collapsed="false">
      <c r="A127" s="61" t="n">
        <v>37895</v>
      </c>
      <c r="B127" s="139" t="n">
        <f aca="false">B115*(1+$B$22)</f>
        <v>31.212</v>
      </c>
      <c r="C127" s="139" t="n">
        <f aca="false">C115*(1+$B$22)</f>
        <v>41.616</v>
      </c>
      <c r="D127" s="139"/>
      <c r="E127" s="139"/>
      <c r="F127" s="139" t="n">
        <f aca="false">$C$14*external_curves!K57</f>
        <v>50.7335300973572</v>
      </c>
      <c r="G127" s="139" t="n">
        <f aca="false">IF(swap_model!$B$37="Y",swap_model!B80,((F127*external_curves!AI57)+(Fwd_curves!B127*external_curves!AL57)+(Fwd_curves!C127*external_curves!AM57))/(external_curves!AH57))</f>
        <v>43.552713811596</v>
      </c>
      <c r="H127" s="35" t="n">
        <f aca="false">external_curves!O57</f>
        <v>3.79979084872905</v>
      </c>
      <c r="I127" s="56" t="n">
        <f aca="false">F127/N127</f>
        <v>4.00022017135077</v>
      </c>
      <c r="J127" s="139" t="n">
        <f aca="false">$H127*B127</f>
        <v>118.599071970531</v>
      </c>
      <c r="K127" s="139" t="n">
        <f aca="false">$H127*C127</f>
        <v>158.132095960708</v>
      </c>
      <c r="L127" s="139" t="n">
        <f aca="false">$H127*F127</f>
        <v>192.776803387657</v>
      </c>
      <c r="M127" s="139" t="n">
        <f aca="false">$H127*G127</f>
        <v>165.491203378618</v>
      </c>
      <c r="N127" s="139" t="n">
        <f aca="false">H127*external_curves!K57</f>
        <v>12.6826844333985</v>
      </c>
      <c r="O127" s="139" t="n">
        <f aca="false">H127*external_curves!Q57</f>
        <v>229.846489015215</v>
      </c>
      <c r="P127" s="139" t="n">
        <f aca="false">H127*external_curves!S57</f>
        <v>198.375493000661</v>
      </c>
      <c r="Q127" s="35" t="n">
        <f aca="false">H127*external_curves!M57</f>
        <v>5.44015358615893</v>
      </c>
      <c r="R127" s="61"/>
      <c r="S127" s="61"/>
      <c r="T127" s="61"/>
      <c r="U127" s="61"/>
      <c r="V127" s="61"/>
      <c r="W127" s="61"/>
      <c r="X127" s="61"/>
      <c r="Y127" s="61"/>
    </row>
    <row r="128" customFormat="false" ht="12.75" hidden="false" customHeight="true" outlineLevel="0" collapsed="false">
      <c r="A128" s="61" t="n">
        <v>37926</v>
      </c>
      <c r="B128" s="139" t="n">
        <f aca="false">B116*(1+$B$22)</f>
        <v>34.3332</v>
      </c>
      <c r="C128" s="139" t="n">
        <f aca="false">C116*(1+$B$22)</f>
        <v>41.616</v>
      </c>
      <c r="D128" s="139"/>
      <c r="E128" s="139"/>
      <c r="F128" s="139" t="n">
        <f aca="false">$C$14*external_curves!K58</f>
        <v>52.4158955018063</v>
      </c>
      <c r="G128" s="139" t="n">
        <f aca="false">IF(swap_model!$B$37="Y",swap_model!B81,((F128*external_curves!AI58)+(Fwd_curves!B128*external_curves!AL58)+(Fwd_curves!C128*external_curves!AM58))/(external_curves!AH58))</f>
        <v>44.7975535563584</v>
      </c>
      <c r="H128" s="35" t="n">
        <f aca="false">external_curves!O58</f>
        <v>3.78076727799391</v>
      </c>
      <c r="I128" s="56" t="n">
        <f aca="false">F128/N128</f>
        <v>4.02034795647754</v>
      </c>
      <c r="J128" s="139" t="n">
        <f aca="false">$H128*B128</f>
        <v>129.805839108821</v>
      </c>
      <c r="K128" s="139" t="n">
        <f aca="false">$H128*C128</f>
        <v>157.340411040995</v>
      </c>
      <c r="L128" s="139" t="n">
        <f aca="false">$H128*F128</f>
        <v>198.172302559978</v>
      </c>
      <c r="M128" s="139" t="n">
        <f aca="false">$H128*G128</f>
        <v>169.36912462006</v>
      </c>
      <c r="N128" s="139" t="n">
        <f aca="false">H128*external_curves!K58</f>
        <v>13.0376514842091</v>
      </c>
      <c r="O128" s="139" t="n">
        <f aca="false">H128*external_curves!Q58</f>
        <v>206.892552865065</v>
      </c>
      <c r="P128" s="139" t="n">
        <f aca="false">H128*external_curves!S58</f>
        <v>177.391207363935</v>
      </c>
      <c r="Q128" s="35" t="n">
        <f aca="false">H128*external_curves!M58</f>
        <v>5.40895563045921</v>
      </c>
      <c r="R128" s="61"/>
      <c r="S128" s="61"/>
      <c r="T128" s="61"/>
      <c r="U128" s="61"/>
      <c r="V128" s="61"/>
      <c r="W128" s="61"/>
      <c r="X128" s="61"/>
      <c r="Y128" s="61"/>
    </row>
    <row r="129" customFormat="false" ht="12.75" hidden="false" customHeight="true" outlineLevel="0" collapsed="false">
      <c r="A129" s="61" t="n">
        <v>37956</v>
      </c>
      <c r="B129" s="139" t="n">
        <f aca="false">B117*(1+$B$22)</f>
        <v>34.3332</v>
      </c>
      <c r="C129" s="139" t="n">
        <f aca="false">C117*(1+$B$22)</f>
        <v>41.616</v>
      </c>
      <c r="D129" s="139"/>
      <c r="E129" s="139"/>
      <c r="F129" s="139" t="n">
        <f aca="false">$C$14*external_curves!K59</f>
        <v>54.4450196758448</v>
      </c>
      <c r="G129" s="139" t="n">
        <f aca="false">IF(swap_model!$B$37="Y",swap_model!B82,((F129*external_curves!AI59)+(Fwd_curves!B129*external_curves!AL59)+(Fwd_curves!C129*external_curves!AM59))/(external_curves!AH59))</f>
        <v>46.1604140332136</v>
      </c>
      <c r="H129" s="35" t="n">
        <f aca="false">external_curves!O59</f>
        <v>3.76244433764307</v>
      </c>
      <c r="I129" s="56" t="n">
        <f aca="false">F129/N129</f>
        <v>4.03992687623967</v>
      </c>
      <c r="J129" s="139" t="n">
        <f aca="false">$H129*B129</f>
        <v>129.176753933167</v>
      </c>
      <c r="K129" s="139" t="n">
        <f aca="false">$H129*C129</f>
        <v>156.577883555354</v>
      </c>
      <c r="L129" s="139" t="n">
        <f aca="false">$H129*F129</f>
        <v>204.846355992248</v>
      </c>
      <c r="M129" s="139" t="n">
        <f aca="false">$H129*G129</f>
        <v>173.675988402524</v>
      </c>
      <c r="N129" s="139" t="n">
        <f aca="false">H129*external_curves!K59</f>
        <v>13.4767339468584</v>
      </c>
      <c r="O129" s="139" t="n">
        <f aca="false">H129*external_curves!Q59</f>
        <v>205.744560596121</v>
      </c>
      <c r="P129" s="139" t="n">
        <f aca="false">H129*external_curves!S59</f>
        <v>172.906982613565</v>
      </c>
      <c r="Q129" s="35" t="n">
        <f aca="false">H129*external_curves!M59</f>
        <v>5.37894276068289</v>
      </c>
      <c r="R129" s="61"/>
      <c r="S129" s="61"/>
      <c r="T129" s="61"/>
      <c r="U129" s="61"/>
      <c r="V129" s="61"/>
      <c r="W129" s="61"/>
      <c r="X129" s="61"/>
      <c r="Y129" s="61"/>
    </row>
    <row r="130" customFormat="false" ht="12.75" hidden="false" customHeight="true" outlineLevel="0" collapsed="false">
      <c r="A130" s="61" t="n">
        <v>37987</v>
      </c>
      <c r="B130" s="139" t="n">
        <f aca="false">B118*(1+$B$22)</f>
        <v>35.019864</v>
      </c>
      <c r="C130" s="139" t="n">
        <f aca="false">C118*(1+$B$22)</f>
        <v>40.856508</v>
      </c>
      <c r="D130" s="139"/>
      <c r="E130" s="139"/>
      <c r="F130" s="139" t="n">
        <f aca="false">$C$15*external_curves!K60</f>
        <v>55.8144354085178</v>
      </c>
      <c r="G130" s="139" t="n">
        <f aca="false">IF(swap_model!$B$37="Y",swap_model!B83,((F130*external_curves!AI60)+(Fwd_curves!B130*external_curves!AL60)+(Fwd_curves!C130*external_curves!AM60))/(external_curves!AH60))</f>
        <v>46.5526653975783</v>
      </c>
      <c r="H130" s="35" t="n">
        <f aca="false">external_curves!O60</f>
        <v>3.74360009135954</v>
      </c>
      <c r="I130" s="56" t="n">
        <f aca="false">F130/N130</f>
        <v>4.04690662204201</v>
      </c>
      <c r="J130" s="139" t="n">
        <f aca="false">$H130*B130</f>
        <v>131.100366069799</v>
      </c>
      <c r="K130" s="139" t="n">
        <f aca="false">$H130*C130</f>
        <v>152.950427081432</v>
      </c>
      <c r="L130" s="139" t="n">
        <f aca="false">$H130*F130</f>
        <v>208.946925494508</v>
      </c>
      <c r="M130" s="139" t="n">
        <f aca="false">$H130*G130</f>
        <v>174.274562435404</v>
      </c>
      <c r="N130" s="139" t="n">
        <f aca="false">H130*external_curves!K60</f>
        <v>13.7918762702646</v>
      </c>
      <c r="O130" s="139" t="n">
        <f aca="false">H130*external_curves!Q60</f>
        <v>145.733118537563</v>
      </c>
      <c r="P130" s="139" t="n">
        <f aca="false">H130*external_curves!S60</f>
        <v>133.915754086751</v>
      </c>
      <c r="Q130" s="35" t="n">
        <f aca="false">H130*external_curves!M60</f>
        <v>5.3480043500023</v>
      </c>
      <c r="R130" s="61"/>
      <c r="S130" s="61"/>
      <c r="T130" s="61"/>
      <c r="U130" s="61"/>
      <c r="V130" s="61"/>
      <c r="W130" s="61"/>
      <c r="X130" s="61"/>
      <c r="Y130" s="61"/>
    </row>
    <row r="131" customFormat="false" ht="12.75" hidden="false" customHeight="true" outlineLevel="0" collapsed="false">
      <c r="A131" s="61" t="n">
        <v>38018</v>
      </c>
      <c r="B131" s="139" t="n">
        <f aca="false">B119*(1+$B$22)</f>
        <v>31.83624</v>
      </c>
      <c r="C131" s="139" t="n">
        <f aca="false">C119*(1+$B$22)</f>
        <v>39.7953</v>
      </c>
      <c r="D131" s="139"/>
      <c r="E131" s="139"/>
      <c r="F131" s="139" t="n">
        <f aca="false">$C$15*external_curves!K61</f>
        <v>53.2055698326307</v>
      </c>
      <c r="G131" s="139" t="n">
        <f aca="false">IF(swap_model!$B$37="Y",swap_model!B84,((F131*external_curves!AI61)+(Fwd_curves!B131*external_curves!AL61)+(Fwd_curves!C131*external_curves!AM61))/(external_curves!AH61))</f>
        <v>44.1312723368417</v>
      </c>
      <c r="H131" s="35" t="n">
        <f aca="false">external_curves!O61</f>
        <v>3.72484635850357</v>
      </c>
      <c r="I131" s="56" t="n">
        <f aca="false">F131/N131</f>
        <v>4.06728185322693</v>
      </c>
      <c r="J131" s="139" t="n">
        <f aca="false">$H131*B131</f>
        <v>118.585102632446</v>
      </c>
      <c r="K131" s="139" t="n">
        <f aca="false">$H131*C131</f>
        <v>148.231378290557</v>
      </c>
      <c r="L131" s="139" t="n">
        <f aca="false">$H131*F131</f>
        <v>198.182573043182</v>
      </c>
      <c r="M131" s="139" t="n">
        <f aca="false">$H131*G131</f>
        <v>164.382209060014</v>
      </c>
      <c r="N131" s="139" t="n">
        <f aca="false">H131*external_curves!K61</f>
        <v>13.0813579566457</v>
      </c>
      <c r="O131" s="139" t="n">
        <f aca="false">H131*external_curves!Q61</f>
        <v>134.257517975291</v>
      </c>
      <c r="P131" s="139" t="n">
        <f aca="false">H131*external_curves!S61</f>
        <v>125.019114736246</v>
      </c>
      <c r="Q131" s="35" t="n">
        <f aca="false">H131*external_curves!M61</f>
        <v>5.317129424764</v>
      </c>
      <c r="R131" s="61"/>
      <c r="S131" s="61"/>
      <c r="T131" s="61"/>
      <c r="U131" s="61"/>
      <c r="V131" s="61"/>
      <c r="W131" s="61"/>
      <c r="X131" s="61"/>
      <c r="Y131" s="61"/>
    </row>
    <row r="132" customFormat="false" ht="12.75" hidden="false" customHeight="true" outlineLevel="0" collapsed="false">
      <c r="A132" s="61" t="n">
        <v>38047</v>
      </c>
      <c r="B132" s="139" t="n">
        <f aca="false">B120*(1+$B$22)</f>
        <v>32.897448</v>
      </c>
      <c r="C132" s="139" t="n">
        <f aca="false">C120*(1+$B$22)</f>
        <v>39.7953</v>
      </c>
      <c r="D132" s="139"/>
      <c r="E132" s="139"/>
      <c r="F132" s="139" t="n">
        <f aca="false">$C$15*external_curves!K62</f>
        <v>56.0730870126347</v>
      </c>
      <c r="G132" s="139" t="n">
        <f aca="false">IF(swap_model!$B$37="Y",swap_model!B85,((F132*external_curves!AI62)+(Fwd_curves!B132*external_curves!AL62)+(Fwd_curves!C132*external_curves!AM62))/(external_curves!AH62))</f>
        <v>46.1407581352817</v>
      </c>
      <c r="H132" s="35" t="n">
        <f aca="false">external_curves!O62</f>
        <v>3.70738411909034</v>
      </c>
      <c r="I132" s="56" t="n">
        <f aca="false">F132/N132</f>
        <v>4.08643925564348</v>
      </c>
      <c r="J132" s="139" t="n">
        <f aca="false">$H132*B132</f>
        <v>121.9634762738</v>
      </c>
      <c r="K132" s="139" t="n">
        <f aca="false">$H132*C132</f>
        <v>147.536463234436</v>
      </c>
      <c r="L132" s="139" t="n">
        <f aca="false">$H132*F132</f>
        <v>207.884472299013</v>
      </c>
      <c r="M132" s="139" t="n">
        <f aca="false">$H132*G132</f>
        <v>171.061513953532</v>
      </c>
      <c r="N132" s="139" t="n">
        <f aca="false">H132*external_curves!K62</f>
        <v>13.7217473464695</v>
      </c>
      <c r="O132" s="139" t="n">
        <f aca="false">H132*external_curves!Q62</f>
        <v>122.955439338327</v>
      </c>
      <c r="P132" s="139" t="n">
        <f aca="false">H132*external_curves!S62</f>
        <v>114.838020461904</v>
      </c>
      <c r="Q132" s="35" t="n">
        <f aca="false">H132*external_curves!M62</f>
        <v>5.28840599304631</v>
      </c>
      <c r="R132" s="61"/>
      <c r="S132" s="61"/>
      <c r="T132" s="61"/>
      <c r="U132" s="61"/>
      <c r="V132" s="61"/>
      <c r="W132" s="61"/>
      <c r="X132" s="61"/>
      <c r="Y132" s="61"/>
    </row>
    <row r="133" customFormat="false" ht="12.75" hidden="false" customHeight="true" outlineLevel="0" collapsed="false">
      <c r="A133" s="61" t="n">
        <v>38078</v>
      </c>
      <c r="B133" s="139" t="n">
        <f aca="false">B121*(1+$B$22)</f>
        <v>31.305636</v>
      </c>
      <c r="C133" s="139" t="n">
        <f aca="false">C121*(1+$B$22)</f>
        <v>39.7953</v>
      </c>
      <c r="D133" s="139"/>
      <c r="E133" s="139"/>
      <c r="F133" s="139" t="n">
        <f aca="false">$C$15*external_curves!K63</f>
        <v>52.0150231757479</v>
      </c>
      <c r="G133" s="139" t="n">
        <f aca="false">IF(swap_model!$B$37="Y",swap_model!B86,((F133*external_curves!AI63)+(Fwd_curves!B133*external_curves!AL63)+(Fwd_curves!C133*external_curves!AM63))/(external_curves!AH63))</f>
        <v>43.6941356859212</v>
      </c>
      <c r="H133" s="35" t="n">
        <f aca="false">external_curves!O63</f>
        <v>3.68880439747653</v>
      </c>
      <c r="I133" s="56" t="n">
        <f aca="false">F133/N133</f>
        <v>4.10702177929628</v>
      </c>
      <c r="J133" s="139" t="n">
        <f aca="false">$H133*B133</f>
        <v>115.4803677426</v>
      </c>
      <c r="K133" s="139" t="n">
        <f aca="false">$H133*C133</f>
        <v>146.797077638898</v>
      </c>
      <c r="L133" s="139" t="n">
        <f aca="false">$H133*F133</f>
        <v>191.873246225542</v>
      </c>
      <c r="M133" s="139" t="n">
        <f aca="false">$H133*G133</f>
        <v>161.179119862162</v>
      </c>
      <c r="N133" s="139" t="n">
        <f aca="false">H133*external_curves!K63</f>
        <v>12.6649007409599</v>
      </c>
      <c r="O133" s="139" t="n">
        <f aca="false">H133*external_curves!Q63</f>
        <v>120.931055014892</v>
      </c>
      <c r="P133" s="139" t="n">
        <f aca="false">H133*external_curves!S63</f>
        <v>101.425868994582</v>
      </c>
      <c r="Q133" s="35" t="n">
        <f aca="false">H133*external_curves!M63</f>
        <v>5.25787195716921</v>
      </c>
      <c r="R133" s="61"/>
      <c r="S133" s="61"/>
      <c r="T133" s="61"/>
      <c r="U133" s="61"/>
      <c r="V133" s="61"/>
      <c r="W133" s="61"/>
      <c r="X133" s="61"/>
      <c r="Y133" s="61"/>
    </row>
    <row r="134" customFormat="false" ht="12.75" hidden="false" customHeight="true" outlineLevel="0" collapsed="false">
      <c r="A134" s="61" t="n">
        <v>38108</v>
      </c>
      <c r="B134" s="139" t="n">
        <f aca="false">B122*(1+$B$22)</f>
        <v>33.958656</v>
      </c>
      <c r="C134" s="139" t="n">
        <f aca="false">C122*(1+$B$22)</f>
        <v>39.7953</v>
      </c>
      <c r="D134" s="139"/>
      <c r="E134" s="139"/>
      <c r="F134" s="139" t="n">
        <f aca="false">$C$15*external_curves!K64</f>
        <v>51.4807850008624</v>
      </c>
      <c r="G134" s="139" t="n">
        <f aca="false">IF(swap_model!$B$37="Y",swap_model!B87,((F134*external_curves!AI64)+(Fwd_curves!B134*external_curves!AL64)+(Fwd_curves!C134*external_curves!AM64))/(external_curves!AH64))</f>
        <v>43.7546639358733</v>
      </c>
      <c r="H134" s="35" t="n">
        <f aca="false">external_curves!O64</f>
        <v>3.67090905297348</v>
      </c>
      <c r="I134" s="56" t="n">
        <f aca="false">F134/N134</f>
        <v>4.12704313328829</v>
      </c>
      <c r="J134" s="139" t="n">
        <f aca="false">$H134*B134</f>
        <v>124.659137737212</v>
      </c>
      <c r="K134" s="139" t="n">
        <f aca="false">$H134*C134</f>
        <v>146.084927035796</v>
      </c>
      <c r="L134" s="139" t="n">
        <f aca="false">$H134*F134</f>
        <v>188.981279713847</v>
      </c>
      <c r="M134" s="139" t="n">
        <f aca="false">$H134*G134</f>
        <v>160.61939195201</v>
      </c>
      <c r="N134" s="139" t="n">
        <f aca="false">H134*external_curves!K64</f>
        <v>12.4740118623001</v>
      </c>
      <c r="O134" s="139" t="n">
        <f aca="false">H134*external_curves!Q64</f>
        <v>117.641016473458</v>
      </c>
      <c r="P134" s="139" t="n">
        <f aca="false">H134*external_curves!S64</f>
        <v>82.7844189998405</v>
      </c>
      <c r="Q134" s="35" t="n">
        <f aca="false">H134*external_curves!M64</f>
        <v>5.22848962104256</v>
      </c>
      <c r="R134" s="61"/>
      <c r="S134" s="61"/>
      <c r="T134" s="61"/>
      <c r="U134" s="61"/>
      <c r="V134" s="61"/>
      <c r="W134" s="61"/>
      <c r="X134" s="61"/>
      <c r="Y134" s="61"/>
    </row>
    <row r="135" customFormat="false" ht="12.75" hidden="false" customHeight="true" outlineLevel="0" collapsed="false">
      <c r="A135" s="61" t="n">
        <v>38139</v>
      </c>
      <c r="B135" s="139" t="n">
        <f aca="false">B123*(1+$B$22)</f>
        <v>33.958656</v>
      </c>
      <c r="C135" s="139" t="n">
        <f aca="false">C123*(1+$B$22)</f>
        <v>39.7953</v>
      </c>
      <c r="D135" s="139"/>
      <c r="E135" s="139"/>
      <c r="F135" s="139" t="n">
        <f aca="false">$C$15*external_curves!K65</f>
        <v>51.5570235041276</v>
      </c>
      <c r="G135" s="139" t="n">
        <f aca="false">IF(swap_model!$B$37="Y",swap_model!B88,((F135*external_curves!AI65)+(Fwd_curves!B135*external_curves!AL65)+(Fwd_curves!C135*external_curves!AM65))/(external_curves!AH65))</f>
        <v>44.1187407353513</v>
      </c>
      <c r="H135" s="35" t="n">
        <f aca="false">external_curves!O65</f>
        <v>3.65250466422788</v>
      </c>
      <c r="I135" s="56" t="n">
        <f aca="false">F135/N135</f>
        <v>4.14783864573179</v>
      </c>
      <c r="J135" s="139" t="n">
        <f aca="false">$H135*B135</f>
        <v>124.03414943091</v>
      </c>
      <c r="K135" s="139" t="n">
        <f aca="false">$H135*C135</f>
        <v>145.352518864348</v>
      </c>
      <c r="L135" s="139" t="n">
        <f aca="false">$H135*F135</f>
        <v>188.312268822532</v>
      </c>
      <c r="M135" s="139" t="n">
        <f aca="false">$H135*G135</f>
        <v>161.143906315731</v>
      </c>
      <c r="N135" s="139" t="n">
        <f aca="false">H135*external_curves!K65</f>
        <v>12.4298527275599</v>
      </c>
      <c r="O135" s="139" t="n">
        <f aca="false">H135*external_curves!Q65</f>
        <v>122.160014127814</v>
      </c>
      <c r="P135" s="139" t="n">
        <f aca="false">H135*external_curves!S65</f>
        <v>88.1689179981596</v>
      </c>
      <c r="Q135" s="35" t="n">
        <f aca="false">H135*external_curves!M65</f>
        <v>5.19829847352398</v>
      </c>
      <c r="R135" s="61"/>
      <c r="S135" s="61"/>
      <c r="T135" s="61"/>
      <c r="U135" s="61"/>
      <c r="V135" s="61"/>
      <c r="W135" s="61"/>
      <c r="X135" s="61"/>
      <c r="Y135" s="61"/>
    </row>
    <row r="136" customFormat="false" ht="12.75" hidden="false" customHeight="true" outlineLevel="0" collapsed="false">
      <c r="A136" s="61" t="n">
        <v>38169</v>
      </c>
      <c r="B136" s="139" t="n">
        <f aca="false">B124*(1+$B$22)</f>
        <v>31.83624</v>
      </c>
      <c r="C136" s="139" t="n">
        <f aca="false">C124*(1+$B$22)</f>
        <v>40.5381456</v>
      </c>
      <c r="D136" s="139"/>
      <c r="E136" s="139"/>
      <c r="F136" s="139" t="n">
        <f aca="false">$C$15*external_curves!K66</f>
        <v>52.7743282123908</v>
      </c>
      <c r="G136" s="139" t="n">
        <f aca="false">IF(swap_model!$B$37="Y",swap_model!B89,((F136*external_curves!AI66)+(Fwd_curves!B136*external_curves!AL66)+(Fwd_curves!C136*external_curves!AM66))/(external_curves!AH66))</f>
        <v>44.2687919628516</v>
      </c>
      <c r="H136" s="35" t="n">
        <f aca="false">external_curves!O66</f>
        <v>3.63477823144138</v>
      </c>
      <c r="I136" s="56" t="n">
        <f aca="false">F136/N136</f>
        <v>4.16806722042908</v>
      </c>
      <c r="J136" s="139" t="n">
        <f aca="false">$H136*B136</f>
        <v>115.717672122943</v>
      </c>
      <c r="K136" s="139" t="n">
        <f aca="false">$H136*C136</f>
        <v>147.347169169881</v>
      </c>
      <c r="L136" s="139" t="n">
        <f aca="false">$H136*F136</f>
        <v>191.822979365341</v>
      </c>
      <c r="M136" s="139" t="n">
        <f aca="false">$H136*G136</f>
        <v>160.90724135878</v>
      </c>
      <c r="N136" s="139" t="n">
        <f aca="false">H136*external_curves!K66</f>
        <v>12.6615827963921</v>
      </c>
      <c r="O136" s="139" t="n">
        <f aca="false">H136*external_curves!Q66</f>
        <v>270.674613221875</v>
      </c>
      <c r="P136" s="139" t="n">
        <f aca="false">H136*external_curves!S66</f>
        <v>194.221890358114</v>
      </c>
      <c r="Q136" s="35" t="n">
        <f aca="false">H136*external_curves!M66</f>
        <v>5.16924541841728</v>
      </c>
      <c r="R136" s="61"/>
      <c r="S136" s="61"/>
      <c r="T136" s="61"/>
      <c r="U136" s="61"/>
      <c r="V136" s="61"/>
      <c r="W136" s="61"/>
      <c r="X136" s="61"/>
      <c r="Y136" s="61"/>
    </row>
    <row r="137" customFormat="false" ht="12.75" hidden="false" customHeight="true" outlineLevel="0" collapsed="false">
      <c r="A137" s="61" t="n">
        <v>38200</v>
      </c>
      <c r="B137" s="139" t="n">
        <f aca="false">B125*(1+$B$22)</f>
        <v>31.83624</v>
      </c>
      <c r="C137" s="139" t="n">
        <f aca="false">C125*(1+$B$22)</f>
        <v>42.70300992</v>
      </c>
      <c r="D137" s="139"/>
      <c r="E137" s="139"/>
      <c r="F137" s="139" t="n">
        <f aca="false">$C$15*external_curves!K67</f>
        <v>52.5640354343892</v>
      </c>
      <c r="G137" s="139" t="n">
        <f aca="false">IF(swap_model!$B$37="Y",swap_model!B90,((F137*external_curves!AI67)+(Fwd_curves!B137*external_curves!AL67)+(Fwd_curves!C137*external_curves!AM67))/(external_curves!AH67))</f>
        <v>44.7978076016465</v>
      </c>
      <c r="H137" s="35" t="n">
        <f aca="false">external_curves!O67</f>
        <v>3.61654759743484</v>
      </c>
      <c r="I137" s="56" t="n">
        <f aca="false">F137/N137</f>
        <v>4.18907800653464</v>
      </c>
      <c r="J137" s="139" t="n">
        <f aca="false">$H137*B137</f>
        <v>115.137277283359</v>
      </c>
      <c r="K137" s="139" t="n">
        <f aca="false">$H137*C137</f>
        <v>154.437467929412</v>
      </c>
      <c r="L137" s="139" t="n">
        <f aca="false">$H137*F137</f>
        <v>190.10033606172</v>
      </c>
      <c r="M137" s="139" t="n">
        <f aca="false">$H137*G137</f>
        <v>162.013403452083</v>
      </c>
      <c r="N137" s="139" t="n">
        <f aca="false">H137*external_curves!K67</f>
        <v>12.5478769677703</v>
      </c>
      <c r="O137" s="139" t="n">
        <f aca="false">H137*external_curves!Q67</f>
        <v>338.493247599306</v>
      </c>
      <c r="P137" s="139" t="n">
        <f aca="false">H137*external_curves!S67</f>
        <v>255.942444135125</v>
      </c>
      <c r="Q137" s="35" t="n">
        <f aca="false">H137*external_curves!M67</f>
        <v>5.13939263768162</v>
      </c>
      <c r="R137" s="61"/>
      <c r="S137" s="61"/>
      <c r="T137" s="61"/>
      <c r="U137" s="61"/>
      <c r="V137" s="61"/>
      <c r="W137" s="61"/>
      <c r="X137" s="61"/>
      <c r="Y137" s="61"/>
    </row>
    <row r="138" customFormat="false" ht="12.75" hidden="false" customHeight="true" outlineLevel="0" collapsed="false">
      <c r="A138" s="61" t="n">
        <v>38231</v>
      </c>
      <c r="B138" s="139" t="n">
        <f aca="false">B126*(1+$B$22)</f>
        <v>31.83624</v>
      </c>
      <c r="C138" s="139" t="n">
        <f aca="false">C126*(1+$B$22)</f>
        <v>42.70300992</v>
      </c>
      <c r="D138" s="139"/>
      <c r="E138" s="139"/>
      <c r="F138" s="139" t="n">
        <f aca="false">$C$15*external_curves!K68</f>
        <v>52.2929284872615</v>
      </c>
      <c r="G138" s="139" t="n">
        <f aca="false">IF(swap_model!$B$37="Y",swap_model!B91,((F138*external_curves!AI68)+(Fwd_curves!B138*external_curves!AL68)+(Fwd_curves!C138*external_curves!AM68))/(external_curves!AH68))</f>
        <v>44.7350930168834</v>
      </c>
      <c r="H138" s="35" t="n">
        <f aca="false">external_curves!O68</f>
        <v>3.59840466454212</v>
      </c>
      <c r="I138" s="56" t="n">
        <f aca="false">F138/N138</f>
        <v>4.21019907774263</v>
      </c>
      <c r="J138" s="139" t="n">
        <f aca="false">$H138*B138</f>
        <v>114.559674517482</v>
      </c>
      <c r="K138" s="139" t="n">
        <f aca="false">$H138*C138</f>
        <v>153.662710086116</v>
      </c>
      <c r="L138" s="139" t="n">
        <f aca="false">$H138*F138</f>
        <v>188.171117791129</v>
      </c>
      <c r="M138" s="139" t="n">
        <f aca="false">$H138*G138</f>
        <v>160.974967380679</v>
      </c>
      <c r="N138" s="139" t="n">
        <f aca="false">H138*external_curves!K68</f>
        <v>12.4205358277973</v>
      </c>
      <c r="O138" s="139" t="n">
        <f aca="false">H138*external_curves!Q68</f>
        <v>274.646932619756</v>
      </c>
      <c r="P138" s="139" t="n">
        <f aca="false">H138*external_curves!S68</f>
        <v>211.002651179602</v>
      </c>
      <c r="Q138" s="35" t="n">
        <f aca="false">H138*external_curves!M68</f>
        <v>5.10971037432104</v>
      </c>
      <c r="R138" s="61"/>
      <c r="S138" s="61"/>
      <c r="T138" s="61"/>
      <c r="U138" s="61"/>
      <c r="V138" s="61"/>
      <c r="W138" s="61"/>
      <c r="X138" s="61"/>
      <c r="Y138" s="61"/>
    </row>
    <row r="139" customFormat="false" ht="12.75" hidden="false" customHeight="true" outlineLevel="0" collapsed="false">
      <c r="A139" s="61" t="n">
        <v>38261</v>
      </c>
      <c r="B139" s="139" t="n">
        <f aca="false">B127*(1+$B$22)</f>
        <v>31.83624</v>
      </c>
      <c r="C139" s="139" t="n">
        <f aca="false">C127*(1+$B$22)</f>
        <v>42.44832</v>
      </c>
      <c r="D139" s="139"/>
      <c r="E139" s="139"/>
      <c r="F139" s="139" t="n">
        <f aca="false">$C$15*external_curves!K69</f>
        <v>52.5920163172764</v>
      </c>
      <c r="G139" s="139" t="n">
        <f aca="false">IF(swap_model!$B$37="Y",swap_model!B92,((F139*external_curves!AI69)+(Fwd_curves!B139*external_curves!AL69)+(Fwd_curves!C139*external_curves!AM69))/(external_curves!AH69))</f>
        <v>44.6330680142538</v>
      </c>
      <c r="H139" s="35" t="n">
        <f aca="false">external_curves!O69</f>
        <v>3.58093011171004</v>
      </c>
      <c r="I139" s="56" t="n">
        <f aca="false">F139/N139</f>
        <v>4.23074439527815</v>
      </c>
      <c r="J139" s="139" t="n">
        <f aca="false">$H139*B139</f>
        <v>114.003350459628</v>
      </c>
      <c r="K139" s="139" t="n">
        <f aca="false">$H139*C139</f>
        <v>152.004467279504</v>
      </c>
      <c r="L139" s="139" t="n">
        <f aca="false">$H139*F139</f>
        <v>188.328334866081</v>
      </c>
      <c r="M139" s="139" t="n">
        <f aca="false">$H139*G139</f>
        <v>159.827897230244</v>
      </c>
      <c r="N139" s="139" t="n">
        <f aca="false">H139*external_curves!K69</f>
        <v>12.4309131924806</v>
      </c>
      <c r="O139" s="139" t="n">
        <f aca="false">H139*external_curves!Q69</f>
        <v>193.083587958234</v>
      </c>
      <c r="P139" s="139" t="n">
        <f aca="false">H139*external_curves!S69</f>
        <v>164.283591834158</v>
      </c>
      <c r="Q139" s="35" t="n">
        <f aca="false">H139*external_curves!M69</f>
        <v>5.08114705153246</v>
      </c>
      <c r="R139" s="61"/>
      <c r="S139" s="61"/>
      <c r="T139" s="61"/>
      <c r="U139" s="61"/>
      <c r="V139" s="61"/>
      <c r="W139" s="61"/>
      <c r="X139" s="61"/>
      <c r="Y139" s="61"/>
    </row>
    <row r="140" customFormat="false" ht="12.75" hidden="false" customHeight="true" outlineLevel="0" collapsed="false">
      <c r="A140" s="61" t="n">
        <v>38292</v>
      </c>
      <c r="B140" s="139" t="n">
        <f aca="false">B128*(1+$B$22)</f>
        <v>35.019864</v>
      </c>
      <c r="C140" s="139" t="n">
        <f aca="false">C128*(1+$B$22)</f>
        <v>42.44832</v>
      </c>
      <c r="D140" s="139"/>
      <c r="E140" s="139"/>
      <c r="F140" s="139" t="n">
        <f aca="false">$C$15*external_curves!K70</f>
        <v>55.2768371882</v>
      </c>
      <c r="G140" s="139" t="n">
        <f aca="false">IF(swap_model!$B$37="Y",swap_model!B93,((F140*external_curves!AI70)+(Fwd_curves!B140*external_curves!AL70)+(Fwd_curves!C140*external_curves!AM70))/(external_curves!AH70))</f>
        <v>46.9041947142311</v>
      </c>
      <c r="H140" s="35" t="n">
        <f aca="false">external_curves!O70</f>
        <v>3.56295857882273</v>
      </c>
      <c r="I140" s="56" t="n">
        <f aca="false">F140/N140</f>
        <v>4.25208423416638</v>
      </c>
      <c r="J140" s="139" t="n">
        <f aca="false">$H140*B140</f>
        <v>124.774324868005</v>
      </c>
      <c r="K140" s="139" t="n">
        <f aca="false">$H140*C140</f>
        <v>151.241605900613</v>
      </c>
      <c r="L140" s="139" t="n">
        <f aca="false">$H140*F140</f>
        <v>196.949081269885</v>
      </c>
      <c r="M140" s="139" t="n">
        <f aca="false">$H140*G140</f>
        <v>167.117702939842</v>
      </c>
      <c r="N140" s="139" t="n">
        <f aca="false">H140*external_curves!K70</f>
        <v>12.9999393577482</v>
      </c>
      <c r="O140" s="139" t="n">
        <f aca="false">H140*external_curves!Q70</f>
        <v>171.761115534041</v>
      </c>
      <c r="P140" s="139" t="n">
        <f aca="false">H140*external_curves!S70</f>
        <v>147.603700469347</v>
      </c>
      <c r="Q140" s="35" t="n">
        <f aca="false">H140*external_curves!M70</f>
        <v>5.05179751570709</v>
      </c>
      <c r="R140" s="61"/>
      <c r="S140" s="61"/>
      <c r="T140" s="61"/>
      <c r="U140" s="61"/>
      <c r="V140" s="61"/>
      <c r="W140" s="61"/>
      <c r="X140" s="61"/>
      <c r="Y140" s="61"/>
    </row>
    <row r="141" customFormat="false" ht="12.75" hidden="false" customHeight="true" outlineLevel="0" collapsed="false">
      <c r="A141" s="61" t="n">
        <v>38322</v>
      </c>
      <c r="B141" s="139" t="n">
        <f aca="false">B129*(1+$B$22)</f>
        <v>35.019864</v>
      </c>
      <c r="C141" s="139" t="n">
        <f aca="false">C129*(1+$B$22)</f>
        <v>42.44832</v>
      </c>
      <c r="D141" s="139"/>
      <c r="E141" s="139"/>
      <c r="F141" s="139" t="n">
        <f aca="false">$C$15*external_curves!K71</f>
        <v>57.1938090405962</v>
      </c>
      <c r="G141" s="139" t="n">
        <f aca="false">IF(swap_model!$B$37="Y",swap_model!B94,((F141*external_curves!AI71)+(Fwd_curves!B141*external_curves!AL71)+(Fwd_curves!C141*external_curves!AM71))/(external_curves!AH71))</f>
        <v>47.9046426652411</v>
      </c>
      <c r="H141" s="35" t="n">
        <f aca="false">external_curves!O71</f>
        <v>3.5456491479626</v>
      </c>
      <c r="I141" s="56" t="n">
        <f aca="false">F141/N141</f>
        <v>4.27284239578681</v>
      </c>
      <c r="J141" s="139" t="n">
        <f aca="false">$H141*B141</f>
        <v>124.168150953366</v>
      </c>
      <c r="K141" s="139" t="n">
        <f aca="false">$H141*C141</f>
        <v>150.506849640444</v>
      </c>
      <c r="L141" s="139" t="n">
        <f aca="false">$H141*F141</f>
        <v>202.789180293526</v>
      </c>
      <c r="M141" s="139" t="n">
        <f aca="false">$H141*G141</f>
        <v>169.853055449465</v>
      </c>
      <c r="N141" s="139" t="n">
        <f aca="false">H141*external_curves!K71</f>
        <v>13.3854244418169</v>
      </c>
      <c r="O141" s="139" t="n">
        <f aca="false">H141*external_curves!Q71</f>
        <v>170.800849531151</v>
      </c>
      <c r="P141" s="139" t="n">
        <f aca="false">H141*external_curves!S71</f>
        <v>142.307032918981</v>
      </c>
      <c r="Q141" s="35" t="n">
        <f aca="false">H141*external_curves!M71</f>
        <v>5.02355439797504</v>
      </c>
      <c r="R141" s="61"/>
      <c r="S141" s="61"/>
      <c r="T141" s="61"/>
      <c r="U141" s="61"/>
      <c r="V141" s="61"/>
      <c r="W141" s="61"/>
      <c r="X141" s="61"/>
      <c r="Y141" s="61"/>
    </row>
    <row r="142" customFormat="false" ht="12.75" hidden="false" customHeight="true" outlineLevel="0" collapsed="false">
      <c r="A142" s="61" t="n">
        <v>38353</v>
      </c>
      <c r="B142" s="139" t="n">
        <f aca="false">B130*(1+$B$22)</f>
        <v>35.72026128</v>
      </c>
      <c r="C142" s="139" t="n">
        <f aca="false">C130*(1+$B$22)</f>
        <v>41.67363816</v>
      </c>
      <c r="D142" s="139"/>
      <c r="E142" s="139"/>
      <c r="F142" s="139" t="n">
        <f aca="false">$C$16*external_curves!K72</f>
        <v>60.0804939302879</v>
      </c>
      <c r="G142" s="139" t="n">
        <f aca="false">IF(swap_model!$B$37="Y",swap_model!B95,((F142*external_curves!AI72)+(Fwd_curves!B142*external_curves!AL72)+(Fwd_curves!C142*external_curves!AM72))/(external_curves!AH72))</f>
        <v>48.6421008252913</v>
      </c>
      <c r="H142" s="35" t="n">
        <f aca="false">external_curves!O72</f>
        <v>3.52784747047098</v>
      </c>
      <c r="I142" s="56" t="n">
        <f aca="false">F142/N142</f>
        <v>4.28023040292728</v>
      </c>
      <c r="J142" s="139" t="n">
        <f aca="false">$H142*B142</f>
        <v>126.015633401211</v>
      </c>
      <c r="K142" s="139" t="n">
        <f aca="false">$H142*C142</f>
        <v>147.018238968079</v>
      </c>
      <c r="L142" s="139" t="n">
        <f aca="false">$H142*F142</f>
        <v>211.954818536613</v>
      </c>
      <c r="M142" s="139" t="n">
        <f aca="false">$H142*G142</f>
        <v>171.601912354898</v>
      </c>
      <c r="N142" s="139" t="n">
        <f aca="false">H142*external_curves!K72</f>
        <v>14.0367429494446</v>
      </c>
      <c r="O142" s="139" t="n">
        <f aca="false">H142*external_curves!Q72</f>
        <v>119.868813646447</v>
      </c>
      <c r="P142" s="139" t="n">
        <f aca="false">H142*external_curves!S72</f>
        <v>110.551054162729</v>
      </c>
      <c r="Q142" s="35" t="n">
        <f aca="false">H142*external_curves!M72</f>
        <v>4.99453390193531</v>
      </c>
      <c r="R142" s="61"/>
      <c r="S142" s="61"/>
      <c r="T142" s="61"/>
      <c r="U142" s="61"/>
      <c r="V142" s="61"/>
      <c r="W142" s="61"/>
      <c r="X142" s="61"/>
      <c r="Y142" s="61"/>
    </row>
    <row r="143" customFormat="false" ht="12.75" hidden="false" customHeight="true" outlineLevel="0" collapsed="false">
      <c r="A143" s="61" t="n">
        <v>38384</v>
      </c>
      <c r="B143" s="139" t="n">
        <f aca="false">B131*(1+$B$22)</f>
        <v>32.4729648</v>
      </c>
      <c r="C143" s="139" t="n">
        <f aca="false">C131*(1+$B$22)</f>
        <v>40.591206</v>
      </c>
      <c r="D143" s="139"/>
      <c r="E143" s="139"/>
      <c r="F143" s="139" t="n">
        <f aca="false">$C$16*external_curves!K73</f>
        <v>57.6669057437225</v>
      </c>
      <c r="G143" s="139" t="n">
        <f aca="false">IF(swap_model!$B$37="Y",swap_model!B96,((F143*external_curves!AI73)+(Fwd_curves!B143*external_curves!AL73)+(Fwd_curves!C143*external_curves!AM73))/(external_curves!AH73))</f>
        <v>46.7895770208202</v>
      </c>
      <c r="H143" s="35" t="n">
        <f aca="false">external_curves!O73</f>
        <v>3.51013152521962</v>
      </c>
      <c r="I143" s="56" t="n">
        <f aca="false">F143/N143</f>
        <v>4.30183310554302</v>
      </c>
      <c r="J143" s="139" t="n">
        <f aca="false">$H143*B143</f>
        <v>113.984377461827</v>
      </c>
      <c r="K143" s="139" t="n">
        <f aca="false">$H143*C143</f>
        <v>142.480471827284</v>
      </c>
      <c r="L143" s="139" t="n">
        <f aca="false">$H143*F143</f>
        <v>202.418423812909</v>
      </c>
      <c r="M143" s="139" t="n">
        <f aca="false">$H143*G143</f>
        <v>164.237569352473</v>
      </c>
      <c r="N143" s="139" t="n">
        <f aca="false">H143*external_curves!K73</f>
        <v>13.405193629994</v>
      </c>
      <c r="O143" s="139" t="n">
        <f aca="false">H143*external_curves!Q73</f>
        <v>109.244942895881</v>
      </c>
      <c r="P143" s="139" t="n">
        <f aca="false">H143*external_curves!S73</f>
        <v>103.274304783065</v>
      </c>
      <c r="Q143" s="35" t="n">
        <f aca="false">H143*external_curves!M73</f>
        <v>4.96567922254007</v>
      </c>
      <c r="R143" s="61"/>
      <c r="S143" s="61"/>
      <c r="T143" s="61"/>
      <c r="U143" s="61"/>
      <c r="V143" s="61"/>
      <c r="W143" s="61"/>
      <c r="X143" s="61"/>
      <c r="Y143" s="61"/>
    </row>
    <row r="144" customFormat="false" ht="12.75" hidden="false" customHeight="true" outlineLevel="0" collapsed="false">
      <c r="A144" s="61" t="n">
        <v>38412</v>
      </c>
      <c r="B144" s="139" t="n">
        <f aca="false">B132*(1+$B$22)</f>
        <v>33.55539696</v>
      </c>
      <c r="C144" s="139" t="n">
        <f aca="false">C132*(1+$B$22)</f>
        <v>40.591206</v>
      </c>
      <c r="D144" s="139"/>
      <c r="E144" s="139"/>
      <c r="F144" s="139" t="n">
        <f aca="false">$C$16*external_curves!K74</f>
        <v>54.980579166926</v>
      </c>
      <c r="G144" s="139" t="n">
        <f aca="false">IF(swap_model!$B$37="Y",swap_model!B97,((F144*external_curves!AI74)+(Fwd_curves!B144*external_curves!AL74)+(Fwd_curves!C144*external_curves!AM74))/(external_curves!AH74))</f>
        <v>45.9684915672967</v>
      </c>
      <c r="H144" s="35" t="n">
        <f aca="false">external_curves!O74</f>
        <v>3.49420338738268</v>
      </c>
      <c r="I144" s="56" t="n">
        <f aca="false">F144/N144</f>
        <v>4.32144277992662</v>
      </c>
      <c r="J144" s="139" t="n">
        <f aca="false">$H144*B144</f>
        <v>117.249381722602</v>
      </c>
      <c r="K144" s="139" t="n">
        <f aca="false">$H144*C144</f>
        <v>141.833929503148</v>
      </c>
      <c r="L144" s="139" t="n">
        <f aca="false">$H144*F144</f>
        <v>192.113325965334</v>
      </c>
      <c r="M144" s="139" t="n">
        <f aca="false">$H144*G144</f>
        <v>160.62325894732</v>
      </c>
      <c r="N144" s="139" t="n">
        <f aca="false">H144*external_curves!K74</f>
        <v>12.7227368188963</v>
      </c>
      <c r="O144" s="139" t="n">
        <f aca="false">H144*external_curves!Q74</f>
        <v>98.7951735028993</v>
      </c>
      <c r="P144" s="139" t="n">
        <f aca="false">H144*external_curves!S74</f>
        <v>93.2047476904369</v>
      </c>
      <c r="Q144" s="35" t="n">
        <f aca="false">H144*external_curves!M74</f>
        <v>4.93975867514497</v>
      </c>
      <c r="R144" s="61"/>
      <c r="S144" s="61"/>
      <c r="T144" s="61"/>
      <c r="U144" s="61"/>
      <c r="V144" s="61"/>
      <c r="W144" s="61"/>
      <c r="X144" s="61"/>
      <c r="Y144" s="61"/>
    </row>
    <row r="145" customFormat="false" ht="12.75" hidden="false" customHeight="true" outlineLevel="0" collapsed="false">
      <c r="A145" s="61" t="n">
        <v>38443</v>
      </c>
      <c r="B145" s="139" t="n">
        <f aca="false">B133*(1+$B$22)</f>
        <v>31.93174872</v>
      </c>
      <c r="C145" s="139" t="n">
        <f aca="false">C133*(1+$B$22)</f>
        <v>40.591206</v>
      </c>
      <c r="D145" s="139"/>
      <c r="E145" s="139"/>
      <c r="F145" s="139" t="n">
        <f aca="false">$C$16*external_curves!K75</f>
        <v>51.3684090657618</v>
      </c>
      <c r="G145" s="139" t="n">
        <f aca="false">IF(swap_model!$B$37="Y",swap_model!B98,((F145*external_curves!AI75)+(Fwd_curves!B145*external_curves!AL75)+(Fwd_curves!C145*external_curves!AM75))/(external_curves!AH75))</f>
        <v>43.6000273986888</v>
      </c>
      <c r="H145" s="35" t="n">
        <f aca="false">external_curves!O75</f>
        <v>3.47664952341693</v>
      </c>
      <c r="I145" s="56" t="n">
        <f aca="false">F145/N145</f>
        <v>4.34326206834889</v>
      </c>
      <c r="J145" s="139" t="n">
        <f aca="false">$H145*B145</f>
        <v>111.015498969257</v>
      </c>
      <c r="K145" s="139" t="n">
        <f aca="false">$H145*C145</f>
        <v>141.121396994819</v>
      </c>
      <c r="L145" s="139" t="n">
        <f aca="false">$H145*F145</f>
        <v>178.589954897167</v>
      </c>
      <c r="M145" s="139" t="n">
        <f aca="false">$H145*G145</f>
        <v>151.582014476617</v>
      </c>
      <c r="N145" s="139" t="n">
        <f aca="false">H145*external_curves!K75</f>
        <v>11.8271493309382</v>
      </c>
      <c r="O145" s="139" t="n">
        <f aca="false">H145*external_curves!Q75</f>
        <v>96.9965357241823</v>
      </c>
      <c r="P145" s="139" t="n">
        <f aca="false">H145*external_curves!S75</f>
        <v>80.7691107934127</v>
      </c>
      <c r="Q145" s="35" t="n">
        <f aca="false">H145*external_curves!M75</f>
        <v>4.91121699869277</v>
      </c>
      <c r="R145" s="61"/>
      <c r="S145" s="61"/>
      <c r="T145" s="61"/>
      <c r="U145" s="61"/>
      <c r="V145" s="61"/>
      <c r="W145" s="61"/>
      <c r="X145" s="61"/>
      <c r="Y145" s="61"/>
    </row>
    <row r="146" customFormat="false" ht="12.75" hidden="false" customHeight="true" outlineLevel="0" collapsed="false">
      <c r="A146" s="61" t="n">
        <v>38473</v>
      </c>
      <c r="B146" s="139" t="n">
        <f aca="false">B134*(1+$B$22)</f>
        <v>34.63782912</v>
      </c>
      <c r="C146" s="139" t="n">
        <f aca="false">C134*(1+$B$22)</f>
        <v>40.591206</v>
      </c>
      <c r="D146" s="139"/>
      <c r="E146" s="139"/>
      <c r="F146" s="139" t="n">
        <f aca="false">$C$16*external_curves!K76</f>
        <v>50.8601398047559</v>
      </c>
      <c r="G146" s="139" t="n">
        <f aca="false">IF(swap_model!$B$37="Y",swap_model!B99,((F146*external_curves!AI76)+(Fwd_curves!B146*external_curves!AL76)+(Fwd_curves!C146*external_curves!AM76))/(external_curves!AH76))</f>
        <v>44.0413005811748</v>
      </c>
      <c r="H146" s="35" t="n">
        <f aca="false">external_curves!O76</f>
        <v>3.45974246157754</v>
      </c>
      <c r="I146" s="56" t="n">
        <f aca="false">F146/N146</f>
        <v>4.36448671185625</v>
      </c>
      <c r="J146" s="139" t="n">
        <f aca="false">$H146*B146</f>
        <v>119.837968183331</v>
      </c>
      <c r="K146" s="139" t="n">
        <f aca="false">$H146*C146</f>
        <v>140.435118964841</v>
      </c>
      <c r="L146" s="139" t="n">
        <f aca="false">$H146*F146</f>
        <v>175.962985284284</v>
      </c>
      <c r="M146" s="139" t="n">
        <f aca="false">$H146*G146</f>
        <v>152.37155768379</v>
      </c>
      <c r="N146" s="139" t="n">
        <f aca="false">H146*external_curves!K76</f>
        <v>11.6531778333963</v>
      </c>
      <c r="O146" s="139" t="n">
        <f aca="false">H146*external_curves!Q76</f>
        <v>94.012213196168</v>
      </c>
      <c r="P146" s="139" t="n">
        <f aca="false">H146*external_curves!S76</f>
        <v>63.8497973578499</v>
      </c>
      <c r="Q146" s="35" t="n">
        <f aca="false">H146*external_curves!M76</f>
        <v>4.88375133486587</v>
      </c>
      <c r="R146" s="61"/>
      <c r="S146" s="61"/>
      <c r="T146" s="61"/>
      <c r="U146" s="61"/>
      <c r="V146" s="61"/>
      <c r="W146" s="61"/>
      <c r="X146" s="61"/>
      <c r="Y146" s="61"/>
    </row>
    <row r="147" customFormat="false" ht="12.75" hidden="false" customHeight="true" outlineLevel="0" collapsed="false">
      <c r="A147" s="61" t="n">
        <v>38504</v>
      </c>
      <c r="B147" s="139" t="n">
        <f aca="false">B135*(1+$B$22)</f>
        <v>34.63782912</v>
      </c>
      <c r="C147" s="139" t="n">
        <f aca="false">C135*(1+$B$22)</f>
        <v>40.591206</v>
      </c>
      <c r="D147" s="139"/>
      <c r="E147" s="139"/>
      <c r="F147" s="139" t="n">
        <f aca="false">$C$16*external_curves!K77</f>
        <v>50.9535827909812</v>
      </c>
      <c r="G147" s="139" t="n">
        <f aca="false">IF(swap_model!$B$37="Y",swap_model!B100,((F147*external_curves!AI77)+(Fwd_curves!B147*external_curves!AL77)+(Fwd_curves!C147*external_curves!AM77))/(external_curves!AH77))</f>
        <v>44.2019869715908</v>
      </c>
      <c r="H147" s="35" t="n">
        <f aca="false">external_curves!O77</f>
        <v>3.44235468592535</v>
      </c>
      <c r="I147" s="56" t="n">
        <f aca="false">F147/N147</f>
        <v>4.3865322948094</v>
      </c>
      <c r="J147" s="139" t="n">
        <f aca="false">$H147*B147</f>
        <v>119.235693381513</v>
      </c>
      <c r="K147" s="139" t="n">
        <f aca="false">$H147*C147</f>
        <v>139.729328181461</v>
      </c>
      <c r="L147" s="139" t="n">
        <f aca="false">$H147*F147</f>
        <v>175.400304485219</v>
      </c>
      <c r="M147" s="139" t="n">
        <f aca="false">$H147*G147</f>
        <v>152.158916978867</v>
      </c>
      <c r="N147" s="139" t="n">
        <f aca="false">H147*external_curves!K77</f>
        <v>11.6159142043192</v>
      </c>
      <c r="O147" s="139" t="n">
        <f aca="false">H147*external_curves!Q77</f>
        <v>98.3244772821432</v>
      </c>
      <c r="P147" s="139" t="n">
        <f aca="false">H147*external_curves!S77</f>
        <v>68.5438948625311</v>
      </c>
      <c r="Q147" s="35" t="n">
        <f aca="false">H147*external_curves!M77</f>
        <v>4.85552974232806</v>
      </c>
      <c r="R147" s="61"/>
      <c r="S147" s="61"/>
      <c r="T147" s="61"/>
      <c r="U147" s="61"/>
      <c r="V147" s="61"/>
      <c r="W147" s="61"/>
      <c r="X147" s="61"/>
      <c r="Y147" s="61"/>
    </row>
    <row r="148" customFormat="false" ht="12.75" hidden="false" customHeight="true" outlineLevel="0" collapsed="false">
      <c r="A148" s="61" t="n">
        <v>38534</v>
      </c>
      <c r="B148" s="139" t="n">
        <f aca="false">B136*(1+$B$22)</f>
        <v>32.4729648</v>
      </c>
      <c r="C148" s="139" t="n">
        <f aca="false">C136*(1+$B$22)</f>
        <v>41.348908512</v>
      </c>
      <c r="D148" s="139"/>
      <c r="E148" s="139"/>
      <c r="F148" s="139" t="n">
        <f aca="false">$C$16*external_curves!K78</f>
        <v>52.1560073176572</v>
      </c>
      <c r="G148" s="139" t="n">
        <f aca="false">IF(swap_model!$B$37="Y",swap_model!B101,((F148*external_curves!AI78)+(Fwd_curves!B148*external_curves!AL78)+(Fwd_curves!C148*external_curves!AM78))/(external_curves!AH78))</f>
        <v>44.2252884247484</v>
      </c>
      <c r="H148" s="35" t="n">
        <f aca="false">external_curves!O78</f>
        <v>3.42582984507014</v>
      </c>
      <c r="I148" s="56" t="n">
        <f aca="false">F148/N148</f>
        <v>4.40769118224868</v>
      </c>
      <c r="J148" s="139" t="n">
        <f aca="false">$H148*B148</f>
        <v>111.246851969752</v>
      </c>
      <c r="K148" s="139" t="n">
        <f aca="false">$H148*C148</f>
        <v>141.654324841484</v>
      </c>
      <c r="L148" s="139" t="n">
        <f aca="false">$H148*F148</f>
        <v>178.677606468526</v>
      </c>
      <c r="M148" s="139" t="n">
        <f aca="false">$H148*G148</f>
        <v>151.508312992338</v>
      </c>
      <c r="N148" s="139" t="n">
        <f aca="false">H148*external_curves!K78</f>
        <v>11.8329540707633</v>
      </c>
      <c r="O148" s="139" t="n">
        <f aca="false">H148*external_curves!Q78</f>
        <v>239.496001704839</v>
      </c>
      <c r="P148" s="139" t="n">
        <f aca="false">H148*external_curves!S78</f>
        <v>168.108444387357</v>
      </c>
      <c r="Q148" s="35" t="n">
        <f aca="false">H148*external_curves!M78</f>
        <v>4.82854842146853</v>
      </c>
      <c r="R148" s="61"/>
      <c r="S148" s="61"/>
      <c r="T148" s="61"/>
      <c r="U148" s="61"/>
      <c r="V148" s="61"/>
      <c r="W148" s="61"/>
      <c r="X148" s="61"/>
      <c r="Y148" s="61"/>
    </row>
    <row r="149" customFormat="false" ht="12.75" hidden="false" customHeight="true" outlineLevel="0" collapsed="false">
      <c r="A149" s="61" t="n">
        <v>38565</v>
      </c>
      <c r="B149" s="139" t="n">
        <f aca="false">B137*(1+$B$22)</f>
        <v>32.4729648</v>
      </c>
      <c r="C149" s="139" t="n">
        <f aca="false">C137*(1+$B$22)</f>
        <v>43.5570701184</v>
      </c>
      <c r="D149" s="139"/>
      <c r="E149" s="139"/>
      <c r="F149" s="139" t="n">
        <f aca="false">$C$16*external_curves!K79</f>
        <v>51.9548028442543</v>
      </c>
      <c r="G149" s="139" t="n">
        <f aca="false">IF(swap_model!$B$37="Y",swap_model!B102,((F149*external_curves!AI79)+(Fwd_curves!B149*external_curves!AL79)+(Fwd_curves!C149*external_curves!AM79))/(external_curves!AH79))</f>
        <v>44.9695570330892</v>
      </c>
      <c r="H149" s="35" t="n">
        <f aca="false">external_curves!O79</f>
        <v>3.40903123336407</v>
      </c>
      <c r="I149" s="56" t="n">
        <f aca="false">F149/N149</f>
        <v>4.42941086963852</v>
      </c>
      <c r="J149" s="139" t="n">
        <f aca="false">$H149*B149</f>
        <v>110.701351243132</v>
      </c>
      <c r="K149" s="139" t="n">
        <f aca="false">$H149*C149</f>
        <v>148.487412467454</v>
      </c>
      <c r="L149" s="139" t="n">
        <f aca="false">$H149*F149</f>
        <v>177.115545619335</v>
      </c>
      <c r="M149" s="139" t="n">
        <f aca="false">$H149*G149</f>
        <v>153.302624476348</v>
      </c>
      <c r="N149" s="139" t="n">
        <f aca="false">H149*external_curves!K79</f>
        <v>11.7295063324063</v>
      </c>
      <c r="O149" s="139" t="n">
        <f aca="false">H149*external_curves!Q79</f>
        <v>302.929089306111</v>
      </c>
      <c r="P149" s="139" t="n">
        <f aca="false">H149*external_curves!S79</f>
        <v>228.706739080056</v>
      </c>
      <c r="Q149" s="35" t="n">
        <f aca="false">H149*external_curves!M79</f>
        <v>4.80077796047719</v>
      </c>
      <c r="R149" s="61"/>
      <c r="S149" s="61"/>
      <c r="T149" s="61"/>
      <c r="U149" s="61"/>
      <c r="V149" s="61"/>
      <c r="W149" s="61"/>
      <c r="X149" s="61"/>
      <c r="Y149" s="61"/>
    </row>
    <row r="150" customFormat="false" ht="12.75" hidden="false" customHeight="true" outlineLevel="0" collapsed="false">
      <c r="A150" s="61" t="n">
        <v>38596</v>
      </c>
      <c r="B150" s="139" t="n">
        <f aca="false">B138*(1+$B$22)</f>
        <v>32.4729648</v>
      </c>
      <c r="C150" s="139" t="n">
        <f aca="false">C138*(1+$B$22)</f>
        <v>43.5570701184</v>
      </c>
      <c r="D150" s="139"/>
      <c r="E150" s="139"/>
      <c r="F150" s="139" t="n">
        <f aca="false">$C$16*external_curves!K80</f>
        <v>51.6738179395713</v>
      </c>
      <c r="G150" s="139" t="n">
        <f aca="false">IF(swap_model!$B$37="Y",swap_model!B103,((F150*external_curves!AI80)+(Fwd_curves!B150*external_curves!AL80)+(Fwd_curves!C150*external_curves!AM80))/(external_curves!AH80))</f>
        <v>44.8158099753638</v>
      </c>
      <c r="H150" s="35" t="n">
        <f aca="false">external_curves!O80</f>
        <v>3.39230788795512</v>
      </c>
      <c r="I150" s="56" t="n">
        <f aca="false">F150/N150</f>
        <v>4.45124690881236</v>
      </c>
      <c r="J150" s="139" t="n">
        <f aca="false">$H150*B150</f>
        <v>110.158294636329</v>
      </c>
      <c r="K150" s="139" t="n">
        <f aca="false">$H150*C150</f>
        <v>147.758992538862</v>
      </c>
      <c r="L150" s="139" t="n">
        <f aca="false">$H150*F150</f>
        <v>175.293500197164</v>
      </c>
      <c r="M150" s="139" t="n">
        <f aca="false">$H150*G150</f>
        <v>152.029025684524</v>
      </c>
      <c r="N150" s="139" t="n">
        <f aca="false">H150*external_curves!K80</f>
        <v>11.6088410726599</v>
      </c>
      <c r="O150" s="139" t="n">
        <f aca="false">H150*external_curves!Q80</f>
        <v>241.043834049772</v>
      </c>
      <c r="P150" s="139" t="n">
        <f aca="false">H150*external_curves!S80</f>
        <v>183.872161199243</v>
      </c>
      <c r="Q150" s="35" t="n">
        <f aca="false">H150*external_curves!M80</f>
        <v>4.77314522870835</v>
      </c>
      <c r="R150" s="61"/>
      <c r="S150" s="61"/>
      <c r="T150" s="61"/>
      <c r="U150" s="61"/>
      <c r="V150" s="61"/>
      <c r="W150" s="61"/>
      <c r="X150" s="61"/>
      <c r="Y150" s="61"/>
    </row>
    <row r="151" customFormat="false" ht="12.75" hidden="false" customHeight="true" outlineLevel="0" collapsed="false">
      <c r="A151" s="61" t="n">
        <v>38626</v>
      </c>
      <c r="B151" s="139" t="n">
        <f aca="false">B139*(1+$B$22)</f>
        <v>32.4729648</v>
      </c>
      <c r="C151" s="139" t="n">
        <f aca="false">C139*(1+$B$22)</f>
        <v>43.2972864</v>
      </c>
      <c r="D151" s="139"/>
      <c r="E151" s="139"/>
      <c r="F151" s="139" t="n">
        <f aca="false">$C$16*external_curves!K81</f>
        <v>51.9551157807425</v>
      </c>
      <c r="G151" s="139" t="n">
        <f aca="false">IF(swap_model!$B$37="Y",swap_model!B104,((F151*external_curves!AI81)+(Fwd_curves!B151*external_curves!AL81)+(Fwd_curves!C151*external_curves!AM81))/(external_curves!AH81))</f>
        <v>44.7630722106579</v>
      </c>
      <c r="H151" s="35" t="n">
        <f aca="false">external_curves!O81</f>
        <v>3.37619538701308</v>
      </c>
      <c r="I151" s="56" t="n">
        <f aca="false">F151/N151</f>
        <v>4.47248996846683</v>
      </c>
      <c r="J151" s="139" t="n">
        <f aca="false">$H151*B151</f>
        <v>109.635073960398</v>
      </c>
      <c r="K151" s="139" t="n">
        <f aca="false">$H151*C151</f>
        <v>146.180098613864</v>
      </c>
      <c r="L151" s="139" t="n">
        <f aca="false">$H151*F151</f>
        <v>175.410622230673</v>
      </c>
      <c r="M151" s="139" t="n">
        <f aca="false">$H151*G151</f>
        <v>151.128877906157</v>
      </c>
      <c r="N151" s="139" t="n">
        <f aca="false">H151*external_curves!K81</f>
        <v>11.6165974987201</v>
      </c>
      <c r="O151" s="139" t="n">
        <f aca="false">H151*external_curves!Q81</f>
        <v>164.94207404341</v>
      </c>
      <c r="P151" s="139" t="n">
        <f aca="false">H151*external_curves!S81</f>
        <v>140.035527394324</v>
      </c>
      <c r="Q151" s="35" t="n">
        <f aca="false">H151*external_curves!M81</f>
        <v>4.74653450484633</v>
      </c>
      <c r="R151" s="61"/>
      <c r="S151" s="61"/>
      <c r="T151" s="61"/>
      <c r="U151" s="61"/>
      <c r="V151" s="61"/>
      <c r="W151" s="61"/>
      <c r="X151" s="61"/>
      <c r="Y151" s="61"/>
    </row>
    <row r="152" customFormat="false" ht="12.75" hidden="false" customHeight="true" outlineLevel="0" collapsed="false">
      <c r="A152" s="61" t="n">
        <v>38657</v>
      </c>
      <c r="B152" s="139" t="n">
        <f aca="false">B140*(1+$B$22)</f>
        <v>35.72026128</v>
      </c>
      <c r="C152" s="139" t="n">
        <f aca="false">C140*(1+$B$22)</f>
        <v>43.2972864</v>
      </c>
      <c r="D152" s="139"/>
      <c r="E152" s="139"/>
      <c r="F152" s="139" t="n">
        <f aca="false">$C$16*external_curves!K82</f>
        <v>53.2747909453488</v>
      </c>
      <c r="G152" s="139" t="n">
        <f aca="false">IF(swap_model!$B$37="Y",swap_model!B105,((F152*external_curves!AI82)+(Fwd_curves!B152*external_curves!AL82)+(Fwd_curves!C152*external_curves!AM82))/(external_curves!AH82))</f>
        <v>46.3230158150594</v>
      </c>
      <c r="H152" s="35" t="n">
        <f aca="false">external_curves!O82</f>
        <v>3.3596192735478</v>
      </c>
      <c r="I152" s="56" t="n">
        <f aca="false">F152/N152</f>
        <v>4.49455690378101</v>
      </c>
      <c r="J152" s="139" t="n">
        <f aca="false">$H152*B152</f>
        <v>120.006478252451</v>
      </c>
      <c r="K152" s="139" t="n">
        <f aca="false">$H152*C152</f>
        <v>145.462397881759</v>
      </c>
      <c r="L152" s="139" t="n">
        <f aca="false">$H152*F152</f>
        <v>178.983014454223</v>
      </c>
      <c r="M152" s="139" t="n">
        <f aca="false">$H152*G152</f>
        <v>155.627696741133</v>
      </c>
      <c r="N152" s="139" t="n">
        <f aca="false">H152*external_curves!K82</f>
        <v>11.8531797651804</v>
      </c>
      <c r="O152" s="139" t="n">
        <f aca="false">H152*external_curves!Q82</f>
        <v>145.114514947386</v>
      </c>
      <c r="P152" s="139" t="n">
        <f aca="false">H152*external_curves!S82</f>
        <v>124.802415497434</v>
      </c>
      <c r="Q152" s="35" t="n">
        <f aca="false">H152*external_curves!M82</f>
        <v>4.71917121780117</v>
      </c>
      <c r="R152" s="61"/>
      <c r="S152" s="61"/>
      <c r="T152" s="61"/>
      <c r="U152" s="61"/>
      <c r="V152" s="61"/>
      <c r="W152" s="61"/>
      <c r="X152" s="61"/>
      <c r="Y152" s="61"/>
    </row>
    <row r="153" customFormat="false" ht="12.75" hidden="false" customHeight="true" outlineLevel="0" collapsed="false">
      <c r="A153" s="61" t="n">
        <v>38687</v>
      </c>
      <c r="B153" s="139" t="n">
        <f aca="false">B141*(1+$B$22)</f>
        <v>35.72026128</v>
      </c>
      <c r="C153" s="139" t="n">
        <f aca="false">C141*(1+$B$22)</f>
        <v>43.2972864</v>
      </c>
      <c r="D153" s="139"/>
      <c r="E153" s="139"/>
      <c r="F153" s="139" t="n">
        <f aca="false">$C$16*external_curves!K83</f>
        <v>55.1133837045884</v>
      </c>
      <c r="G153" s="139" t="n">
        <f aca="false">IF(swap_model!$B$37="Y",swap_model!B106,((F153*external_curves!AI83)+(Fwd_curves!B153*external_curves!AL83)+(Fwd_curves!C153*external_curves!AM83))/(external_curves!AH83))</f>
        <v>47.0952834834612</v>
      </c>
      <c r="H153" s="35" t="n">
        <f aca="false">external_curves!O83</f>
        <v>3.34364869730107</v>
      </c>
      <c r="I153" s="56" t="n">
        <f aca="false">F153/N153</f>
        <v>4.51602466855696</v>
      </c>
      <c r="J153" s="139" t="n">
        <f aca="false">$H153*B153</f>
        <v>119.436005096126</v>
      </c>
      <c r="K153" s="139" t="n">
        <f aca="false">$H153*C153</f>
        <v>144.770915268032</v>
      </c>
      <c r="L153" s="139" t="n">
        <f aca="false">$H153*F153</f>
        <v>184.279793627701</v>
      </c>
      <c r="M153" s="139" t="n">
        <f aca="false">$H153*G153</f>
        <v>157.4700832685</v>
      </c>
      <c r="N153" s="139" t="n">
        <f aca="false">H153*external_curves!K83</f>
        <v>12.2039598428941</v>
      </c>
      <c r="O153" s="139" t="n">
        <f aca="false">H153*external_curves!Q83</f>
        <v>144.304222427684</v>
      </c>
      <c r="P153" s="139" t="n">
        <f aca="false">H153*external_curves!S83</f>
        <v>119.906603214891</v>
      </c>
      <c r="Q153" s="35" t="n">
        <f aca="false">H153*external_curves!M83</f>
        <v>4.6928202415507</v>
      </c>
      <c r="R153" s="61"/>
      <c r="S153" s="61"/>
      <c r="T153" s="61"/>
      <c r="U153" s="61"/>
      <c r="V153" s="61"/>
      <c r="W153" s="61"/>
      <c r="X153" s="61"/>
      <c r="Y153" s="61"/>
    </row>
    <row r="154" customFormat="false" ht="12.75" hidden="false" customHeight="true" outlineLevel="0" collapsed="false">
      <c r="A154" s="61" t="n">
        <v>38718</v>
      </c>
      <c r="B154" s="139" t="n">
        <f aca="false">B142*(1+$B$22)</f>
        <v>36.4346665056</v>
      </c>
      <c r="C154" s="139" t="n">
        <f aca="false">C142*(1+$B$22)</f>
        <v>42.5071109232</v>
      </c>
      <c r="D154" s="139"/>
      <c r="E154" s="139"/>
      <c r="F154" s="139" t="n">
        <f aca="false">$C$16*external_curves!K84</f>
        <v>58.4255087728015</v>
      </c>
      <c r="G154" s="139" t="n">
        <f aca="false">IF(swap_model!$B$37="Y",swap_model!B107,((F154*external_curves!AI84)+(Fwd_curves!B154*external_curves!AL84)+(Fwd_curves!C154*external_curves!AM84))/(external_curves!AH84))</f>
        <v>48.3248676642071</v>
      </c>
      <c r="H154" s="35" t="n">
        <f aca="false">external_curves!O84</f>
        <v>3.32721866483044</v>
      </c>
      <c r="I154" s="56" t="n">
        <f aca="false">F154/N154</f>
        <v>4.5383251060746</v>
      </c>
      <c r="J154" s="139" t="n">
        <f aca="false">$H154*B154</f>
        <v>121.226102444305</v>
      </c>
      <c r="K154" s="139" t="n">
        <f aca="false">$H154*C154</f>
        <v>141.430452851689</v>
      </c>
      <c r="L154" s="139" t="n">
        <f aca="false">$H154*F154</f>
        <v>194.39444329108</v>
      </c>
      <c r="M154" s="139" t="n">
        <f aca="false">$H154*G154</f>
        <v>160.787401667811</v>
      </c>
      <c r="N154" s="139" t="n">
        <f aca="false">H154*external_curves!K84</f>
        <v>12.8738041914622</v>
      </c>
      <c r="O154" s="139" t="n">
        <f aca="false">H154*external_curves!Q84</f>
        <v>149.769750794597</v>
      </c>
      <c r="P154" s="139" t="n">
        <f aca="false">H154*external_curves!S84</f>
        <v>133.916321909362</v>
      </c>
      <c r="Q154" s="35" t="n">
        <f aca="false">H154*external_curves!M84</f>
        <v>4.66572432381922</v>
      </c>
      <c r="R154" s="61"/>
      <c r="S154" s="61"/>
      <c r="T154" s="61"/>
      <c r="U154" s="61"/>
      <c r="V154" s="61"/>
      <c r="W154" s="61"/>
      <c r="X154" s="61"/>
      <c r="Y154" s="61"/>
    </row>
    <row r="155" customFormat="false" ht="12.75" hidden="false" customHeight="true" outlineLevel="0" collapsed="false">
      <c r="A155" s="61" t="n">
        <v>38749</v>
      </c>
      <c r="B155" s="139" t="n">
        <f aca="false">B143*(1+$B$22)</f>
        <v>33.122424096</v>
      </c>
      <c r="C155" s="139" t="n">
        <f aca="false">C143*(1+$B$22)</f>
        <v>41.40303012</v>
      </c>
      <c r="D155" s="139"/>
      <c r="E155" s="139"/>
      <c r="F155" s="139" t="n">
        <f aca="false">$C$16*external_curves!K85</f>
        <v>56.1252067242467</v>
      </c>
      <c r="G155" s="139" t="n">
        <f aca="false">IF(swap_model!$B$37="Y",swap_model!B108,((F155*external_curves!AI85)+(Fwd_curves!B155*external_curves!AL85)+(Fwd_curves!C155*external_curves!AM85))/(external_curves!AH85))</f>
        <v>46.4420175448794</v>
      </c>
      <c r="H155" s="35" t="n">
        <f aca="false">external_curves!O85</f>
        <v>3.31086243158306</v>
      </c>
      <c r="I155" s="56" t="n">
        <f aca="false">F155/N155</f>
        <v>4.56074521730584</v>
      </c>
      <c r="J155" s="139" t="n">
        <f aca="false">$H155*B155</f>
        <v>109.663789582408</v>
      </c>
      <c r="K155" s="139" t="n">
        <f aca="false">$H155*C155</f>
        <v>137.07973697801</v>
      </c>
      <c r="L155" s="139" t="n">
        <f aca="false">$H155*F155</f>
        <v>185.822838408141</v>
      </c>
      <c r="M155" s="139" t="n">
        <f aca="false">$H155*G155</f>
        <v>153.763131136262</v>
      </c>
      <c r="N155" s="139" t="n">
        <f aca="false">H155*external_curves!K85</f>
        <v>12.3061482389498</v>
      </c>
      <c r="O155" s="139" t="n">
        <f aca="false">H155*external_curves!Q85</f>
        <v>141.94616279049</v>
      </c>
      <c r="P155" s="139" t="n">
        <f aca="false">H155*external_curves!S85</f>
        <v>130.702683665006</v>
      </c>
      <c r="Q155" s="35" t="n">
        <f aca="false">H155*external_curves!M85</f>
        <v>4.63876348988528</v>
      </c>
      <c r="R155" s="61"/>
      <c r="S155" s="61"/>
      <c r="T155" s="61"/>
      <c r="U155" s="61"/>
      <c r="V155" s="61"/>
      <c r="W155" s="61"/>
      <c r="X155" s="61"/>
      <c r="Y155" s="61"/>
    </row>
    <row r="156" customFormat="false" ht="12.75" hidden="false" customHeight="true" outlineLevel="0" collapsed="false">
      <c r="A156" s="61" t="n">
        <v>38777</v>
      </c>
      <c r="B156" s="139" t="n">
        <f aca="false">B144*(1+$B$22)</f>
        <v>34.2265048992</v>
      </c>
      <c r="C156" s="139" t="n">
        <f aca="false">C144*(1+$B$22)</f>
        <v>41.40303012</v>
      </c>
      <c r="D156" s="139"/>
      <c r="E156" s="139"/>
      <c r="F156" s="139" t="n">
        <f aca="false">$C$16*external_curves!K86</f>
        <v>53.5335700945372</v>
      </c>
      <c r="G156" s="139" t="n">
        <f aca="false">IF(swap_model!$B$37="Y",swap_model!B109,((F156*external_curves!AI86)+(Fwd_curves!B156*external_curves!AL86)+(Fwd_curves!C156*external_curves!AM86))/(external_curves!AH86))</f>
        <v>45.6282425796808</v>
      </c>
      <c r="H156" s="35" t="n">
        <f aca="false">external_curves!O86</f>
        <v>3.29615224679703</v>
      </c>
      <c r="I156" s="56" t="n">
        <f aca="false">F156/N156</f>
        <v>4.5810990723117</v>
      </c>
      <c r="J156" s="139" t="n">
        <f aca="false">$H156*B156</f>
        <v>112.815771023508</v>
      </c>
      <c r="K156" s="139" t="n">
        <f aca="false">$H156*C156</f>
        <v>136.470690754243</v>
      </c>
      <c r="L156" s="139" t="n">
        <f aca="false">$H156*F156</f>
        <v>176.454797346175</v>
      </c>
      <c r="M156" s="139" t="n">
        <f aca="false">$H156*G156</f>
        <v>150.397634296415</v>
      </c>
      <c r="N156" s="139" t="n">
        <f aca="false">H156*external_curves!K86</f>
        <v>11.6857481686209</v>
      </c>
      <c r="O156" s="139" t="n">
        <f aca="false">H156*external_curves!Q86</f>
        <v>133.129116454481</v>
      </c>
      <c r="P156" s="139" t="n">
        <f aca="false">H156*external_curves!S86</f>
        <v>119.76931525608</v>
      </c>
      <c r="Q156" s="35" t="n">
        <f aca="false">H156*external_curves!M86</f>
        <v>4.61452743343088</v>
      </c>
      <c r="R156" s="61"/>
      <c r="S156" s="61"/>
      <c r="T156" s="61"/>
      <c r="U156" s="61"/>
      <c r="V156" s="61"/>
      <c r="W156" s="61"/>
      <c r="X156" s="61"/>
      <c r="Y156" s="61"/>
    </row>
    <row r="157" customFormat="false" ht="12.75" hidden="false" customHeight="true" outlineLevel="0" collapsed="false">
      <c r="A157" s="61" t="n">
        <v>38808</v>
      </c>
      <c r="B157" s="139" t="n">
        <f aca="false">B145*(1+$B$22)</f>
        <v>32.5703836944</v>
      </c>
      <c r="C157" s="139" t="n">
        <f aca="false">C145*(1+$B$22)</f>
        <v>41.40303012</v>
      </c>
      <c r="D157" s="139"/>
      <c r="E157" s="139"/>
      <c r="F157" s="139" t="n">
        <f aca="false">$C$16*external_curves!K87</f>
        <v>49.9257934402061</v>
      </c>
      <c r="G157" s="139" t="n">
        <f aca="false">IF(swap_model!$B$37="Y",swap_model!B110,((F157*external_curves!AI87)+(Fwd_curves!B157*external_curves!AL87)+(Fwd_curves!C157*external_curves!AM87))/(external_curves!AH87))</f>
        <v>43.3193688367895</v>
      </c>
      <c r="H157" s="35" t="n">
        <f aca="false">external_curves!O87</f>
        <v>3.27993565784423</v>
      </c>
      <c r="I157" s="56" t="n">
        <f aca="false">F157/N157</f>
        <v>4.60374884607481</v>
      </c>
      <c r="J157" s="139" t="n">
        <f aca="false">$H157*B157</f>
        <v>106.828762868931</v>
      </c>
      <c r="K157" s="139" t="n">
        <f aca="false">$H157*C157</f>
        <v>135.799274833387</v>
      </c>
      <c r="L157" s="139" t="n">
        <f aca="false">$H157*F157</f>
        <v>163.753390150698</v>
      </c>
      <c r="M157" s="139" t="n">
        <f aca="false">$H157*G157</f>
        <v>142.084742523092</v>
      </c>
      <c r="N157" s="139" t="n">
        <f aca="false">H157*external_curves!K87</f>
        <v>10.8445953742184</v>
      </c>
      <c r="O157" s="139" t="n">
        <f aca="false">H157*external_curves!Q87</f>
        <v>125.476937841416</v>
      </c>
      <c r="P157" s="139" t="n">
        <f aca="false">H157*external_curves!S87</f>
        <v>105.787585103529</v>
      </c>
      <c r="Q157" s="35" t="n">
        <f aca="false">H157*external_curves!M87</f>
        <v>4.58782222454904</v>
      </c>
      <c r="R157" s="61"/>
      <c r="S157" s="61"/>
      <c r="T157" s="61"/>
      <c r="U157" s="61"/>
      <c r="V157" s="61"/>
      <c r="W157" s="61"/>
      <c r="X157" s="61"/>
      <c r="Y157" s="61"/>
    </row>
    <row r="158" customFormat="false" ht="12.75" hidden="false" customHeight="true" outlineLevel="0" collapsed="false">
      <c r="A158" s="61" t="n">
        <v>38838</v>
      </c>
      <c r="B158" s="139" t="n">
        <f aca="false">B146*(1+$B$22)</f>
        <v>35.3305857024</v>
      </c>
      <c r="C158" s="139" t="n">
        <f aca="false">C146*(1+$B$22)</f>
        <v>41.40303012</v>
      </c>
      <c r="D158" s="139"/>
      <c r="E158" s="139"/>
      <c r="F158" s="139" t="n">
        <f aca="false">$C$16*external_curves!K88</f>
        <v>49.4505775701076</v>
      </c>
      <c r="G158" s="139" t="n">
        <f aca="false">IF(swap_model!$B$37="Y",swap_model!B111,((F158*external_curves!AI88)+(Fwd_curves!B158*external_curves!AL88)+(Fwd_curves!C158*external_curves!AM88))/(external_curves!AH88))</f>
        <v>43.7739796965326</v>
      </c>
      <c r="H158" s="35" t="n">
        <f aca="false">external_curves!O88</f>
        <v>3.26431164337371</v>
      </c>
      <c r="I158" s="56" t="n">
        <f aca="false">F158/N158</f>
        <v>4.62578382509887</v>
      </c>
      <c r="J158" s="139" t="n">
        <f aca="false">$H158*B158</f>
        <v>115.330042275557</v>
      </c>
      <c r="K158" s="139" t="n">
        <f aca="false">$H158*C158</f>
        <v>135.152393291668</v>
      </c>
      <c r="L158" s="139" t="n">
        <f aca="false">$H158*F158</f>
        <v>161.422096133657</v>
      </c>
      <c r="M158" s="139" t="n">
        <f aca="false">$H158*G158</f>
        <v>142.891911600196</v>
      </c>
      <c r="N158" s="139" t="n">
        <f aca="false">H158*external_curves!K88</f>
        <v>10.690205041964</v>
      </c>
      <c r="O158" s="139" t="n">
        <f aca="false">H158*external_curves!Q88</f>
        <v>120.211483315404</v>
      </c>
      <c r="P158" s="139" t="n">
        <f aca="false">H158*external_curves!S88</f>
        <v>84.4222552074955</v>
      </c>
      <c r="Q158" s="35" t="n">
        <f aca="false">H158*external_curves!M88</f>
        <v>4.5621056286681</v>
      </c>
      <c r="R158" s="61"/>
      <c r="S158" s="61"/>
      <c r="T158" s="61"/>
      <c r="U158" s="61"/>
      <c r="V158" s="61"/>
      <c r="W158" s="61"/>
      <c r="X158" s="61"/>
      <c r="Y158" s="61"/>
    </row>
    <row r="159" customFormat="false" ht="12.75" hidden="false" customHeight="true" outlineLevel="0" collapsed="false">
      <c r="A159" s="61" t="n">
        <v>38869</v>
      </c>
      <c r="B159" s="139" t="n">
        <f aca="false">B147*(1+$B$22)</f>
        <v>35.3305857024</v>
      </c>
      <c r="C159" s="139" t="n">
        <f aca="false">C147*(1+$B$22)</f>
        <v>41.40303012</v>
      </c>
      <c r="D159" s="139"/>
      <c r="E159" s="139"/>
      <c r="F159" s="139" t="n">
        <f aca="false">$C$16*external_curves!K89</f>
        <v>49.5716818222336</v>
      </c>
      <c r="G159" s="139" t="n">
        <f aca="false">IF(swap_model!$B$37="Y",swap_model!B112,((F159*external_curves!AI89)+(Fwd_curves!B159*external_curves!AL89)+(Fwd_curves!C159*external_curves!AM89))/(external_curves!AH89))</f>
        <v>43.9122178723453</v>
      </c>
      <c r="H159" s="35" t="n">
        <f aca="false">external_curves!O89</f>
        <v>3.24823831872916</v>
      </c>
      <c r="I159" s="56" t="n">
        <f aca="false">F159/N159</f>
        <v>4.64867368657473</v>
      </c>
      <c r="J159" s="139" t="n">
        <f aca="false">$H159*B159</f>
        <v>114.76216230168</v>
      </c>
      <c r="K159" s="139" t="n">
        <f aca="false">$H159*C159</f>
        <v>134.486908947282</v>
      </c>
      <c r="L159" s="139" t="n">
        <f aca="false">$H159*F159</f>
        <v>161.020636418829</v>
      </c>
      <c r="M159" s="139" t="n">
        <f aca="false">$H159*G159</f>
        <v>142.637348753336</v>
      </c>
      <c r="N159" s="139" t="n">
        <f aca="false">H159*external_curves!K89</f>
        <v>10.6636183058827</v>
      </c>
      <c r="O159" s="139" t="n">
        <f aca="false">H159*external_curves!Q89</f>
        <v>122.916458933935</v>
      </c>
      <c r="P159" s="139" t="n">
        <f aca="false">H159*external_curves!S89</f>
        <v>90.5519858189812</v>
      </c>
      <c r="Q159" s="35" t="n">
        <f aca="false">H159*external_curves!M89</f>
        <v>4.53566269128913</v>
      </c>
      <c r="R159" s="61"/>
      <c r="S159" s="61"/>
      <c r="T159" s="61"/>
      <c r="U159" s="61"/>
      <c r="V159" s="61"/>
      <c r="W159" s="61"/>
      <c r="X159" s="61"/>
      <c r="Y159" s="61"/>
    </row>
    <row r="160" customFormat="false" ht="12.75" hidden="false" customHeight="true" outlineLevel="0" collapsed="false">
      <c r="A160" s="61" t="n">
        <v>38899</v>
      </c>
      <c r="B160" s="139" t="n">
        <f aca="false">B148*(1+$B$22)</f>
        <v>33.122424096</v>
      </c>
      <c r="C160" s="139" t="n">
        <f aca="false">C148*(1+$B$22)</f>
        <v>42.17588668224</v>
      </c>
      <c r="D160" s="139"/>
      <c r="E160" s="139"/>
      <c r="F160" s="139" t="n">
        <f aca="false">$C$16*external_curves!K90</f>
        <v>50.7672136040685</v>
      </c>
      <c r="G160" s="139" t="n">
        <f aca="false">IF(swap_model!$B$37="Y",swap_model!B113,((F160*external_curves!AI90)+(Fwd_curves!B160*external_curves!AL90)+(Fwd_curves!C160*external_curves!AM90))/(external_curves!AH90))</f>
        <v>44.01151051456</v>
      </c>
      <c r="H160" s="35" t="n">
        <f aca="false">external_curves!O90</f>
        <v>3.2327524019373</v>
      </c>
      <c r="I160" s="56" t="n">
        <f aca="false">F160/N160</f>
        <v>4.67094231867278</v>
      </c>
      <c r="J160" s="139" t="n">
        <f aca="false">$H160*B160</f>
        <v>107.07659605433</v>
      </c>
      <c r="K160" s="139" t="n">
        <f aca="false">$H160*C160</f>
        <v>136.344198975847</v>
      </c>
      <c r="L160" s="139" t="n">
        <f aca="false">$H160*F160</f>
        <v>164.117831718216</v>
      </c>
      <c r="M160" s="139" t="n">
        <f aca="false">$H160*G160</f>
        <v>142.278316328832</v>
      </c>
      <c r="N160" s="139" t="n">
        <f aca="false">H160*external_curves!K90</f>
        <v>10.8687305773653</v>
      </c>
      <c r="O160" s="139" t="n">
        <f aca="false">H160*external_curves!Q90</f>
        <v>266.823367914212</v>
      </c>
      <c r="P160" s="139" t="n">
        <f aca="false">H160*external_curves!S90</f>
        <v>192.086583300019</v>
      </c>
      <c r="Q160" s="35" t="n">
        <f aca="false">H160*external_curves!M90</f>
        <v>4.51019891673786</v>
      </c>
      <c r="R160" s="61"/>
      <c r="S160" s="61"/>
      <c r="T160" s="61"/>
      <c r="U160" s="61"/>
      <c r="V160" s="61"/>
      <c r="W160" s="61"/>
      <c r="X160" s="61"/>
      <c r="Y160" s="61"/>
    </row>
    <row r="161" customFormat="false" ht="12.75" hidden="false" customHeight="true" outlineLevel="0" collapsed="false">
      <c r="A161" s="61" t="n">
        <v>38930</v>
      </c>
      <c r="B161" s="139" t="n">
        <f aca="false">B149*(1+$B$22)</f>
        <v>33.122424096</v>
      </c>
      <c r="C161" s="139" t="n">
        <f aca="false">C149*(1+$B$22)</f>
        <v>44.428211520768</v>
      </c>
      <c r="D161" s="139"/>
      <c r="E161" s="139"/>
      <c r="F161" s="139" t="n">
        <f aca="false">$C$16*external_curves!K91</f>
        <v>50.5693550023622</v>
      </c>
      <c r="G161" s="139" t="n">
        <f aca="false">IF(swap_model!$B$37="Y",swap_model!B114,((F161*external_curves!AI91)+(Fwd_curves!B161*external_curves!AL91)+(Fwd_curves!C161*external_curves!AM91))/(external_curves!AH91))</f>
        <v>44.6697114066139</v>
      </c>
      <c r="H161" s="35" t="n">
        <f aca="false">external_curves!O91</f>
        <v>3.21682121672403</v>
      </c>
      <c r="I161" s="56" t="n">
        <f aca="false">F161/N161</f>
        <v>4.69407498355711</v>
      </c>
      <c r="J161" s="139" t="n">
        <f aca="false">$H161*B161</f>
        <v>106.548916581344</v>
      </c>
      <c r="K161" s="139" t="n">
        <f aca="false">$H161*C161</f>
        <v>142.917613441109</v>
      </c>
      <c r="L161" s="139" t="n">
        <f aca="false">$H161*F161</f>
        <v>162.672574087648</v>
      </c>
      <c r="M161" s="139" t="n">
        <f aca="false">$H161*G161</f>
        <v>143.694475397735</v>
      </c>
      <c r="N161" s="139" t="n">
        <f aca="false">H161*external_curves!K91</f>
        <v>10.7730181514999</v>
      </c>
      <c r="O161" s="139" t="n">
        <f aca="false">H161*external_curves!Q91</f>
        <v>323.566609541474</v>
      </c>
      <c r="P161" s="139" t="n">
        <f aca="false">H161*external_curves!S91</f>
        <v>239.270479904281</v>
      </c>
      <c r="Q161" s="35" t="n">
        <f aca="false">H161*external_curves!M91</f>
        <v>4.48401620761466</v>
      </c>
      <c r="R161" s="61"/>
      <c r="S161" s="61"/>
      <c r="T161" s="61"/>
      <c r="U161" s="61"/>
      <c r="V161" s="61"/>
      <c r="W161" s="61"/>
      <c r="X161" s="61"/>
      <c r="Y161" s="61"/>
    </row>
    <row r="162" customFormat="false" ht="12.75" hidden="false" customHeight="true" outlineLevel="0" collapsed="false">
      <c r="A162" s="61" t="n">
        <v>38961</v>
      </c>
      <c r="B162" s="139" t="n">
        <f aca="false">B150*(1+$B$22)</f>
        <v>33.122424096</v>
      </c>
      <c r="C162" s="139" t="n">
        <f aca="false">C150*(1+$B$22)</f>
        <v>44.428211520768</v>
      </c>
      <c r="D162" s="139"/>
      <c r="E162" s="139"/>
      <c r="F162" s="139" t="n">
        <f aca="false">$C$16*external_curves!K92</f>
        <v>50.2726131852449</v>
      </c>
      <c r="G162" s="139" t="n">
        <f aca="false">IF(swap_model!$B$37="Y",swap_model!B115,((F162*external_curves!AI92)+(Fwd_curves!B162*external_curves!AL92)+(Fwd_curves!C162*external_curves!AM92))/(external_curves!AH92))</f>
        <v>44.5218376306801</v>
      </c>
      <c r="H162" s="35" t="n">
        <f aca="false">external_curves!O92</f>
        <v>3.20096183759622</v>
      </c>
      <c r="I162" s="56" t="n">
        <f aca="false">F162/N162</f>
        <v>4.71733209145018</v>
      </c>
      <c r="J162" s="139" t="n">
        <f aca="false">$H162*B162</f>
        <v>106.023615499974</v>
      </c>
      <c r="K162" s="139" t="n">
        <f aca="false">$H162*C162</f>
        <v>142.213009590631</v>
      </c>
      <c r="L162" s="139" t="n">
        <f aca="false">$H162*F162</f>
        <v>160.920716282206</v>
      </c>
      <c r="M162" s="139" t="n">
        <f aca="false">$H162*G162</f>
        <v>142.512703195462</v>
      </c>
      <c r="N162" s="139" t="n">
        <f aca="false">H162*external_curves!K92</f>
        <v>10.6570010782918</v>
      </c>
      <c r="O162" s="139" t="n">
        <f aca="false">H162*external_curves!Q92</f>
        <v>287.98453677791</v>
      </c>
      <c r="P162" s="139" t="n">
        <f aca="false">H162*external_curves!S92</f>
        <v>208.464348380377</v>
      </c>
      <c r="Q162" s="35" t="n">
        <f aca="false">H162*external_curves!M92</f>
        <v>4.45796496560232</v>
      </c>
      <c r="R162" s="61"/>
      <c r="S162" s="61"/>
      <c r="T162" s="61"/>
      <c r="U162" s="61"/>
      <c r="V162" s="61"/>
      <c r="W162" s="61"/>
      <c r="X162" s="61"/>
      <c r="Y162" s="61"/>
    </row>
    <row r="163" customFormat="false" ht="12.75" hidden="false" customHeight="true" outlineLevel="0" collapsed="false">
      <c r="A163" s="61" t="n">
        <v>38991</v>
      </c>
      <c r="B163" s="139" t="n">
        <f aca="false">B151*(1+$B$22)</f>
        <v>33.122424096</v>
      </c>
      <c r="C163" s="139" t="n">
        <f aca="false">C151*(1+$B$22)</f>
        <v>44.163232128</v>
      </c>
      <c r="D163" s="139"/>
      <c r="E163" s="139"/>
      <c r="F163" s="139" t="n">
        <f aca="false">$C$16*external_curves!K93</f>
        <v>50.5328494981314</v>
      </c>
      <c r="G163" s="139" t="n">
        <f aca="false">IF(swap_model!$B$37="Y",swap_model!B116,((F163*external_curves!AI93)+(Fwd_curves!B163*external_curves!AL93)+(Fwd_curves!C163*external_curves!AM93))/(external_curves!AH93))</f>
        <v>44.5467478363174</v>
      </c>
      <c r="H163" s="35" t="n">
        <f aca="false">external_curves!O93</f>
        <v>3.18568214937932</v>
      </c>
      <c r="I163" s="56" t="n">
        <f aca="false">F163/N163</f>
        <v>4.73995812888678</v>
      </c>
      <c r="J163" s="139" t="n">
        <f aca="false">$H163*B163</f>
        <v>105.517515186799</v>
      </c>
      <c r="K163" s="139" t="n">
        <f aca="false">$H163*C163</f>
        <v>140.690020249065</v>
      </c>
      <c r="L163" s="139" t="n">
        <f aca="false">$H163*F163</f>
        <v>160.981596603469</v>
      </c>
      <c r="M163" s="139" t="n">
        <f aca="false">$H163*G163</f>
        <v>141.911779395058</v>
      </c>
      <c r="N163" s="139" t="n">
        <f aca="false">H163*external_curves!K93</f>
        <v>10.6610328876469</v>
      </c>
      <c r="O163" s="139" t="n">
        <f aca="false">H163*external_curves!Q93</f>
        <v>175.541999166109</v>
      </c>
      <c r="P163" s="139" t="n">
        <f aca="false">H163*external_curves!S93</f>
        <v>149.317708031317</v>
      </c>
      <c r="Q163" s="35" t="n">
        <f aca="false">H163*external_curves!M93</f>
        <v>4.43287876682094</v>
      </c>
      <c r="R163" s="61"/>
      <c r="S163" s="61"/>
      <c r="T163" s="61"/>
      <c r="U163" s="61"/>
      <c r="V163" s="61"/>
      <c r="W163" s="61"/>
      <c r="X163" s="61"/>
      <c r="Y163" s="61"/>
    </row>
    <row r="164" customFormat="false" ht="12.75" hidden="false" customHeight="true" outlineLevel="0" collapsed="false">
      <c r="A164" s="61" t="n">
        <v>39022</v>
      </c>
      <c r="B164" s="139" t="n">
        <f aca="false">B152*(1+$B$22)</f>
        <v>36.4346665056</v>
      </c>
      <c r="C164" s="139" t="n">
        <f aca="false">C152*(1+$B$22)</f>
        <v>44.163232128</v>
      </c>
      <c r="D164" s="139"/>
      <c r="E164" s="139"/>
      <c r="F164" s="139" t="n">
        <f aca="false">$C$16*external_curves!K94</f>
        <v>56.6343457601862</v>
      </c>
      <c r="G164" s="139" t="n">
        <f aca="false">IF(swap_model!$B$37="Y",swap_model!B117,((F164*external_curves!AI94)+(Fwd_curves!B164*external_curves!AL94)+(Fwd_curves!C164*external_curves!AM94))/(external_curves!AH94))</f>
        <v>48.3710160849266</v>
      </c>
      <c r="H164" s="35" t="n">
        <f aca="false">external_curves!O94</f>
        <v>3.16996322717439</v>
      </c>
      <c r="I164" s="56" t="n">
        <f aca="false">F164/N164</f>
        <v>4.7634621974652</v>
      </c>
      <c r="J164" s="139" t="n">
        <f aca="false">$H164*B164</f>
        <v>115.496553017115</v>
      </c>
      <c r="K164" s="139" t="n">
        <f aca="false">$H164*C164</f>
        <v>139.995821838927</v>
      </c>
      <c r="L164" s="139" t="n">
        <f aca="false">$H164*F164</f>
        <v>179.52879345487</v>
      </c>
      <c r="M164" s="139" t="n">
        <f aca="false">$H164*G164</f>
        <v>153.334342250278</v>
      </c>
      <c r="N164" s="139" t="n">
        <f aca="false">H164*external_curves!K94</f>
        <v>11.8893240698589</v>
      </c>
      <c r="O164" s="139" t="n">
        <f aca="false">H164*external_curves!Q94</f>
        <v>162.401070794822</v>
      </c>
      <c r="P164" s="139" t="n">
        <f aca="false">H164*external_curves!S94</f>
        <v>139.079023457929</v>
      </c>
      <c r="Q164" s="35" t="n">
        <f aca="false">H164*external_curves!M94</f>
        <v>4.40708468914035</v>
      </c>
      <c r="R164" s="61"/>
      <c r="S164" s="61"/>
      <c r="T164" s="61"/>
      <c r="U164" s="61"/>
      <c r="V164" s="61"/>
      <c r="W164" s="61"/>
      <c r="X164" s="61"/>
      <c r="Y164" s="61"/>
    </row>
    <row r="165" customFormat="false" ht="12.75" hidden="false" customHeight="true" outlineLevel="0" collapsed="false">
      <c r="A165" s="61" t="n">
        <v>39052</v>
      </c>
      <c r="B165" s="139" t="n">
        <f aca="false">B153*(1+$B$22)</f>
        <v>36.4346665056</v>
      </c>
      <c r="C165" s="139" t="n">
        <f aca="false">C153*(1+$B$22)</f>
        <v>44.163232128</v>
      </c>
      <c r="D165" s="139"/>
      <c r="E165" s="139"/>
      <c r="F165" s="139" t="n">
        <f aca="false">$C$16*external_curves!K95</f>
        <v>58.6210968836211</v>
      </c>
      <c r="G165" s="139" t="n">
        <f aca="false">IF(swap_model!$B$37="Y",swap_model!B118,((F165*external_curves!AI95)+(Fwd_curves!B165*external_curves!AL95)+(Fwd_curves!C165*external_curves!AM95))/(external_curves!AH95))</f>
        <v>49.1752493920272</v>
      </c>
      <c r="H165" s="35" t="n">
        <f aca="false">external_curves!O95</f>
        <v>3.15481892879799</v>
      </c>
      <c r="I165" s="56" t="n">
        <f aca="false">F165/N165</f>
        <v>4.78632857884912</v>
      </c>
      <c r="J165" s="139" t="n">
        <f aca="false">$H165*B165</f>
        <v>114.944775556309</v>
      </c>
      <c r="K165" s="139" t="n">
        <f aca="false">$H165*C165</f>
        <v>139.327000674314</v>
      </c>
      <c r="L165" s="139" t="n">
        <f aca="false">$H165*F165</f>
        <v>184.938946075349</v>
      </c>
      <c r="M165" s="139" t="n">
        <f aca="false">$H165*G165</f>
        <v>155.139007610329</v>
      </c>
      <c r="N165" s="139" t="n">
        <f aca="false">H165*external_curves!K95</f>
        <v>12.2476123228708</v>
      </c>
      <c r="O165" s="139" t="n">
        <f aca="false">H165*external_curves!Q95</f>
        <v>163.676902316726</v>
      </c>
      <c r="P165" s="139" t="n">
        <f aca="false">H165*external_curves!S95</f>
        <v>137.177269969309</v>
      </c>
      <c r="Q165" s="35" t="n">
        <f aca="false">H165*external_curves!M95</f>
        <v>4.38224638063522</v>
      </c>
      <c r="R165" s="61"/>
      <c r="S165" s="61"/>
      <c r="T165" s="61"/>
      <c r="U165" s="61"/>
      <c r="V165" s="61"/>
      <c r="W165" s="61"/>
      <c r="X165" s="61"/>
      <c r="Y165" s="61"/>
    </row>
    <row r="166" customFormat="false" ht="12.75" hidden="false" customHeight="true" outlineLevel="0" collapsed="false">
      <c r="A166" s="61" t="n">
        <v>39083</v>
      </c>
      <c r="B166" s="139" t="n">
        <f aca="false">B154*(1+$B$22)</f>
        <v>37.163359835712</v>
      </c>
      <c r="C166" s="139" t="n">
        <f aca="false">C154*(1+$B$22)</f>
        <v>43.357253141664</v>
      </c>
      <c r="D166" s="139"/>
      <c r="E166" s="139"/>
      <c r="F166" s="139" t="n">
        <f aca="false">$C$16*external_curves!K96</f>
        <v>62.4631481061275</v>
      </c>
      <c r="G166" s="139" t="n">
        <f aca="false">IF(swap_model!$B$37="Y",swap_model!B119,((F166*external_curves!AI96)+(Fwd_curves!B166*external_curves!AL96)+(Fwd_curves!C166*external_curves!AM96))/(external_curves!AH96))</f>
        <v>50.5871007662067</v>
      </c>
      <c r="H166" s="35" t="n">
        <f aca="false">external_curves!O96</f>
        <v>3.13923935718835</v>
      </c>
      <c r="I166" s="56" t="n">
        <f aca="false">F166/N166</f>
        <v>4.81008240592533</v>
      </c>
      <c r="J166" s="139" t="n">
        <f aca="false">$H166*B166</f>
        <v>116.66468184162</v>
      </c>
      <c r="K166" s="139" t="n">
        <f aca="false">$H166*C166</f>
        <v>136.10879548189</v>
      </c>
      <c r="L166" s="139" t="n">
        <f aca="false">$H166*F166</f>
        <v>196.08677290864</v>
      </c>
      <c r="M166" s="139" t="n">
        <f aca="false">$H166*G166</f>
        <v>158.805017691329</v>
      </c>
      <c r="N166" s="139" t="n">
        <f aca="false">H166*external_curves!K96</f>
        <v>12.9858790005722</v>
      </c>
      <c r="O166" s="139" t="n">
        <f aca="false">H166*external_curves!Q96</f>
        <v>141.37515667344</v>
      </c>
      <c r="P166" s="139" t="n">
        <f aca="false">H166*external_curves!S96</f>
        <v>127.06243578186</v>
      </c>
      <c r="Q166" s="35" t="n">
        <f aca="false">H166*external_curves!M96</f>
        <v>4.35670744756362</v>
      </c>
      <c r="R166" s="61"/>
      <c r="S166" s="61"/>
      <c r="T166" s="61"/>
      <c r="U166" s="61"/>
      <c r="V166" s="61"/>
      <c r="W166" s="61"/>
      <c r="X166" s="61"/>
      <c r="Y166" s="61"/>
    </row>
    <row r="167" customFormat="false" ht="12.75" hidden="false" customHeight="true" outlineLevel="0" collapsed="false">
      <c r="A167" s="61" t="n">
        <v>39114</v>
      </c>
      <c r="B167" s="139" t="n">
        <f aca="false">B155*(1+$B$22)</f>
        <v>33.78487257792</v>
      </c>
      <c r="C167" s="139" t="n">
        <f aca="false">C155*(1+$B$22)</f>
        <v>42.2310907224</v>
      </c>
      <c r="D167" s="139"/>
      <c r="E167" s="139"/>
      <c r="F167" s="139" t="n">
        <f aca="false">$C$16*external_curves!K97</f>
        <v>60.1781125369068</v>
      </c>
      <c r="G167" s="139" t="n">
        <f aca="false">IF(swap_model!$B$37="Y",swap_model!B120,((F167*external_curves!AI97)+(Fwd_curves!B167*external_curves!AL97)+(Fwd_curves!C167*external_curves!AM97))/(external_curves!AH97))</f>
        <v>48.7662872663366</v>
      </c>
      <c r="H167" s="35" t="n">
        <f aca="false">external_curves!O97</f>
        <v>3.12373018146722</v>
      </c>
      <c r="I167" s="56" t="n">
        <f aca="false">F167/N167</f>
        <v>4.83396424236217</v>
      </c>
      <c r="J167" s="139" t="n">
        <f aca="false">$H167*B167</f>
        <v>105.534826148673</v>
      </c>
      <c r="K167" s="139" t="n">
        <f aca="false">$H167*C167</f>
        <v>131.918532685841</v>
      </c>
      <c r="L167" s="139" t="n">
        <f aca="false">$H167*F167</f>
        <v>187.980186395267</v>
      </c>
      <c r="M167" s="139" t="n">
        <f aca="false">$H167*G167</f>
        <v>152.332723371956</v>
      </c>
      <c r="N167" s="139" t="n">
        <f aca="false">H167*external_curves!K97</f>
        <v>12.4490189665739</v>
      </c>
      <c r="O167" s="139" t="n">
        <f aca="false">H167*external_curves!Q97</f>
        <v>134.053654751177</v>
      </c>
      <c r="P167" s="139" t="n">
        <f aca="false">H167*external_curves!S97</f>
        <v>123.369787813549</v>
      </c>
      <c r="Q167" s="35" t="n">
        <f aca="false">H167*external_curves!M97</f>
        <v>4.33129740714627</v>
      </c>
      <c r="R167" s="61"/>
      <c r="S167" s="61"/>
      <c r="T167" s="61"/>
      <c r="U167" s="61"/>
      <c r="V167" s="61"/>
      <c r="W167" s="61"/>
      <c r="X167" s="61"/>
      <c r="Y167" s="61"/>
    </row>
    <row r="168" customFormat="false" ht="12.75" hidden="false" customHeight="false" outlineLevel="0" collapsed="false">
      <c r="A168" s="61" t="n">
        <v>39142</v>
      </c>
      <c r="B168" s="139" t="n">
        <f aca="false">B156*(1+$B$22)</f>
        <v>34.911034997184</v>
      </c>
      <c r="C168" s="139" t="n">
        <f aca="false">C156*(1+$B$22)</f>
        <v>42.2310907224</v>
      </c>
      <c r="D168" s="139"/>
      <c r="E168" s="139"/>
      <c r="F168" s="139" t="n">
        <f aca="false">$C$16*external_curves!K98</f>
        <v>57.3641441624329</v>
      </c>
      <c r="G168" s="139" t="n">
        <f aca="false">IF(swap_model!$B$37="Y",swap_model!B121,((F168*external_curves!AI98)+(Fwd_curves!B168*external_curves!AL98)+(Fwd_curves!C168*external_curves!AM98))/(external_curves!AH98))</f>
        <v>47.9059205779005</v>
      </c>
      <c r="H168" s="35" t="n">
        <f aca="false">external_curves!O98</f>
        <v>3.10978216517698</v>
      </c>
      <c r="I168" s="56" t="n">
        <f aca="false">F168/N168</f>
        <v>4.85564557192727</v>
      </c>
      <c r="J168" s="139" t="n">
        <f aca="false">$H168*B168</f>
        <v>108.565714002112</v>
      </c>
      <c r="K168" s="139" t="n">
        <f aca="false">$H168*C168</f>
        <v>131.329492744491</v>
      </c>
      <c r="L168" s="139" t="n">
        <f aca="false">$H168*F168</f>
        <v>178.389992436975</v>
      </c>
      <c r="M168" s="139" t="n">
        <f aca="false">$H168*G168</f>
        <v>148.97697741954</v>
      </c>
      <c r="N168" s="139" t="n">
        <f aca="false">H168*external_curves!K98</f>
        <v>11.8139067839056</v>
      </c>
      <c r="O168" s="139" t="n">
        <f aca="false">H168*external_curves!Q98</f>
        <v>125.806937334706</v>
      </c>
      <c r="P168" s="139" t="n">
        <f aca="false">H168*external_curves!S98</f>
        <v>113.159532012724</v>
      </c>
      <c r="Q168" s="35" t="n">
        <f aca="false">H168*external_curves!M98</f>
        <v>4.30845675803787</v>
      </c>
    </row>
    <row r="169" customFormat="false" ht="12.75" hidden="false" customHeight="false" outlineLevel="0" collapsed="false">
      <c r="A169" s="61" t="n">
        <v>39173</v>
      </c>
      <c r="B169" s="139" t="n">
        <f aca="false">B157*(1+$B$22)</f>
        <v>33.221791368288</v>
      </c>
      <c r="C169" s="139" t="n">
        <f aca="false">C157*(1+$B$22)</f>
        <v>42.2310907224</v>
      </c>
      <c r="D169" s="139"/>
      <c r="E169" s="139"/>
      <c r="F169" s="139" t="n">
        <f aca="false">$C$16*external_curves!K99</f>
        <v>53.7515157638273</v>
      </c>
      <c r="G169" s="139" t="n">
        <f aca="false">IF(swap_model!$B$37="Y",swap_model!B122,((F169*external_curves!AI99)+(Fwd_curves!B169*external_curves!AL99)+(Fwd_curves!C169*external_curves!AM99))/(external_curves!AH99))</f>
        <v>45.5051192257733</v>
      </c>
      <c r="H169" s="35" t="n">
        <f aca="false">external_curves!O99</f>
        <v>3.09440618802219</v>
      </c>
      <c r="I169" s="56" t="n">
        <f aca="false">F169/N169</f>
        <v>4.87977307518611</v>
      </c>
      <c r="J169" s="139" t="n">
        <f aca="false">$H169*B169</f>
        <v>102.801716787213</v>
      </c>
      <c r="K169" s="139" t="n">
        <f aca="false">$H169*C169</f>
        <v>130.680148458321</v>
      </c>
      <c r="L169" s="139" t="n">
        <f aca="false">$H169*F169</f>
        <v>166.32902299516</v>
      </c>
      <c r="M169" s="139" t="n">
        <f aca="false">$H169*G169</f>
        <v>140.811322518921</v>
      </c>
      <c r="N169" s="139" t="n">
        <f aca="false">H169*external_curves!K99</f>
        <v>11.0151670857722</v>
      </c>
      <c r="O169" s="139" t="n">
        <f aca="false">H169*external_curves!Q99</f>
        <v>115.434681657718</v>
      </c>
      <c r="P169" s="139" t="n">
        <f aca="false">H169*external_curves!S99</f>
        <v>98.4919353227496</v>
      </c>
      <c r="Q169" s="35" t="n">
        <f aca="false">H169*external_curves!M99</f>
        <v>4.28329059954427</v>
      </c>
    </row>
    <row r="170" customFormat="false" ht="12.75" hidden="false" customHeight="false" outlineLevel="0" collapsed="false">
      <c r="A170" s="61" t="n">
        <v>39203</v>
      </c>
      <c r="B170" s="139" t="n">
        <f aca="false">B158*(1+$B$22)</f>
        <v>36.037197416448</v>
      </c>
      <c r="C170" s="139" t="n">
        <f aca="false">C158*(1+$B$22)</f>
        <v>42.2310907224</v>
      </c>
      <c r="D170" s="139"/>
      <c r="E170" s="139"/>
      <c r="F170" s="139" t="n">
        <f aca="false">$C$16*external_curves!K100</f>
        <v>52.7887547252485</v>
      </c>
      <c r="G170" s="139" t="n">
        <f aca="false">IF(swap_model!$B$37="Y",swap_model!B123,((F170*external_curves!AI100)+(Fwd_curves!B170*external_curves!AL100)+(Fwd_curves!C170*external_curves!AM100))/(external_curves!AH100))</f>
        <v>45.7608924793289</v>
      </c>
      <c r="H170" s="35" t="n">
        <f aca="false">external_curves!O100</f>
        <v>3.07959245984908</v>
      </c>
      <c r="I170" s="56" t="n">
        <f aca="false">F170/N170</f>
        <v>4.90324619145872</v>
      </c>
      <c r="J170" s="139" t="n">
        <f aca="false">$H170*B170</f>
        <v>110.979881437786</v>
      </c>
      <c r="K170" s="139" t="n">
        <f aca="false">$H170*C170</f>
        <v>130.054548559906</v>
      </c>
      <c r="L170" s="139" t="n">
        <f aca="false">$H170*F170</f>
        <v>162.567851016698</v>
      </c>
      <c r="M170" s="139" t="n">
        <f aca="false">$H170*G170</f>
        <v>140.924899435306</v>
      </c>
      <c r="N170" s="139" t="n">
        <f aca="false">H170*external_curves!K100</f>
        <v>10.7660828487879</v>
      </c>
      <c r="O170" s="139" t="n">
        <f aca="false">H170*external_curves!Q100</f>
        <v>106.263485932689</v>
      </c>
      <c r="P170" s="139" t="n">
        <f aca="false">H170*external_curves!S100</f>
        <v>77.0614639080034</v>
      </c>
      <c r="Q170" s="35" t="n">
        <f aca="false">H170*external_curves!M100</f>
        <v>4.25905755241238</v>
      </c>
    </row>
    <row r="171" customFormat="false" ht="12.75" hidden="false" customHeight="false" outlineLevel="0" collapsed="false">
      <c r="A171" s="61" t="n">
        <v>39234</v>
      </c>
      <c r="B171" s="139" t="n">
        <f aca="false">B159*(1+$B$22)</f>
        <v>36.037197416448</v>
      </c>
      <c r="C171" s="139" t="n">
        <f aca="false">C159*(1+$B$22)</f>
        <v>42.2310907224</v>
      </c>
      <c r="D171" s="139"/>
      <c r="E171" s="139"/>
      <c r="F171" s="139" t="n">
        <f aca="false">$C$16*external_curves!K101</f>
        <v>54.3671521560165</v>
      </c>
      <c r="G171" s="139" t="n">
        <f aca="false">IF(swap_model!$B$37="Y",swap_model!B124,((F171*external_curves!AI101)+(Fwd_curves!B171*external_curves!AL101)+(Fwd_curves!C171*external_curves!AM101))/(external_curves!AH101))</f>
        <v>46.6502135040465</v>
      </c>
      <c r="H171" s="35" t="n">
        <f aca="false">external_curves!O101</f>
        <v>3.0643531261453</v>
      </c>
      <c r="I171" s="56" t="n">
        <f aca="false">F171/N171</f>
        <v>4.92763052376882</v>
      </c>
      <c r="J171" s="139" t="n">
        <f aca="false">$H171*B171</f>
        <v>110.430698560608</v>
      </c>
      <c r="K171" s="139" t="n">
        <f aca="false">$H171*C171</f>
        <v>129.410974875712</v>
      </c>
      <c r="L171" s="139" t="n">
        <f aca="false">$H171*F171</f>
        <v>166.600152668907</v>
      </c>
      <c r="M171" s="139" t="n">
        <f aca="false">$H171*G171</f>
        <v>142.952727586471</v>
      </c>
      <c r="N171" s="139" t="n">
        <f aca="false">H171*external_curves!K101</f>
        <v>11.0331226933051</v>
      </c>
      <c r="O171" s="139" t="n">
        <f aca="false">H171*external_curves!Q101</f>
        <v>114.110115569201</v>
      </c>
      <c r="P171" s="139" t="n">
        <f aca="false">H171*external_curves!S101</f>
        <v>85.2520884036069</v>
      </c>
      <c r="Q171" s="35" t="n">
        <f aca="false">H171*external_curves!M101</f>
        <v>4.23414157956218</v>
      </c>
    </row>
    <row r="172" customFormat="false" ht="12.75" hidden="false" customHeight="false" outlineLevel="0" collapsed="false">
      <c r="A172" s="61" t="n">
        <v>39264</v>
      </c>
      <c r="B172" s="139" t="n">
        <f aca="false">B160*(1+$B$22)</f>
        <v>33.78487257792</v>
      </c>
      <c r="C172" s="139" t="n">
        <f aca="false">C160*(1+$B$22)</f>
        <v>43.0194044158848</v>
      </c>
      <c r="D172" s="139"/>
      <c r="E172" s="139"/>
      <c r="F172" s="139" t="n">
        <f aca="false">$C$16*external_curves!K102</f>
        <v>54.1236118220163</v>
      </c>
      <c r="G172" s="139" t="n">
        <f aca="false">IF(swap_model!$B$37="Y",swap_model!B125,((F172*external_curves!AI102)+(Fwd_curves!B172*external_curves!AL102)+(Fwd_curves!C172*external_curves!AM102))/(external_curves!AH102))</f>
        <v>45.9489908939521</v>
      </c>
      <c r="H172" s="35" t="n">
        <f aca="false">external_curves!O102</f>
        <v>3.04967110962957</v>
      </c>
      <c r="I172" s="56" t="n">
        <f aca="false">F172/N172</f>
        <v>4.95135359098907</v>
      </c>
      <c r="J172" s="139" t="n">
        <f aca="false">$H172*B172</f>
        <v>103.032749843399</v>
      </c>
      <c r="K172" s="139" t="n">
        <f aca="false">$H172*C172</f>
        <v>131.195034800595</v>
      </c>
      <c r="L172" s="139" t="n">
        <f aca="false">$H172*F172</f>
        <v>165.059215322408</v>
      </c>
      <c r="M172" s="139" t="n">
        <f aca="false">$H172*G172</f>
        <v>140.129310045918</v>
      </c>
      <c r="N172" s="139" t="n">
        <f aca="false">H172*external_curves!K102</f>
        <v>10.9310738624112</v>
      </c>
      <c r="O172" s="139" t="n">
        <f aca="false">H172*external_curves!Q102</f>
        <v>250.035225618438</v>
      </c>
      <c r="P172" s="139" t="n">
        <f aca="false">H172*external_curves!S102</f>
        <v>180.834555910899</v>
      </c>
      <c r="Q172" s="35" t="n">
        <f aca="false">H172*external_curves!M102</f>
        <v>4.21058772565046</v>
      </c>
    </row>
    <row r="173" customFormat="false" ht="12.75" hidden="false" customHeight="false" outlineLevel="0" collapsed="false">
      <c r="A173" s="61" t="n">
        <v>39295</v>
      </c>
      <c r="B173" s="139" t="n">
        <f aca="false">B161*(1+$B$22)</f>
        <v>33.78487257792</v>
      </c>
      <c r="C173" s="139" t="n">
        <f aca="false">C161*(1+$B$22)</f>
        <v>45.3167757511834</v>
      </c>
      <c r="D173" s="139"/>
      <c r="E173" s="139"/>
      <c r="F173" s="139" t="n">
        <f aca="false">$C$16*external_curves!K103</f>
        <v>54.0780081182698</v>
      </c>
      <c r="G173" s="139" t="n">
        <f aca="false">IF(swap_model!$B$37="Y",swap_model!B126,((F173*external_curves!AI103)+(Fwd_curves!B173*external_curves!AL103)+(Fwd_curves!C173*external_curves!AM103))/(external_curves!AH103))</f>
        <v>46.7983124813008</v>
      </c>
      <c r="H173" s="35" t="n">
        <f aca="false">external_curves!O103</f>
        <v>3.03456733838362</v>
      </c>
      <c r="I173" s="56" t="n">
        <f aca="false">F173/N173</f>
        <v>4.97599766826828</v>
      </c>
      <c r="J173" s="139" t="n">
        <f aca="false">$H173*B173</f>
        <v>102.522470856409</v>
      </c>
      <c r="K173" s="139" t="n">
        <f aca="false">$H173*C173</f>
        <v>137.516807575396</v>
      </c>
      <c r="L173" s="139" t="n">
        <f aca="false">$H173*F173</f>
        <v>164.103357160546</v>
      </c>
      <c r="M173" s="139" t="n">
        <f aca="false">$H173*G173</f>
        <v>142.012630547226</v>
      </c>
      <c r="N173" s="139" t="n">
        <f aca="false">H173*external_curves!K103</f>
        <v>10.8677719973872</v>
      </c>
      <c r="O173" s="139" t="n">
        <f aca="false">H173*external_curves!Q103</f>
        <v>303.069970108746</v>
      </c>
      <c r="P173" s="139" t="n">
        <f aca="false">H173*external_curves!S103</f>
        <v>224.891343655505</v>
      </c>
      <c r="Q173" s="35" t="n">
        <f aca="false">H173*external_curves!M103</f>
        <v>4.18706137683481</v>
      </c>
    </row>
    <row r="174" customFormat="false" ht="12.75" hidden="false" customHeight="false" outlineLevel="0" collapsed="false">
      <c r="A174" s="61" t="n">
        <v>39326</v>
      </c>
      <c r="B174" s="139" t="n">
        <f aca="false">B162*(1+$B$22)</f>
        <v>33.78487257792</v>
      </c>
      <c r="C174" s="139" t="n">
        <f aca="false">C162*(1+$B$22)</f>
        <v>45.3167757511834</v>
      </c>
      <c r="D174" s="139"/>
      <c r="E174" s="139"/>
      <c r="F174" s="139" t="n">
        <f aca="false">$C$16*external_curves!K104</f>
        <v>53.8536799747548</v>
      </c>
      <c r="G174" s="139" t="n">
        <f aca="false">IF(swap_model!$B$37="Y",swap_model!B127,((F174*external_curves!AI104)+(Fwd_curves!B174*external_curves!AL104)+(Fwd_curves!C174*external_curves!AM104))/(external_curves!AH104))</f>
        <v>46.6714637070206</v>
      </c>
      <c r="H174" s="35" t="n">
        <f aca="false">external_curves!O104</f>
        <v>3.01953204757667</v>
      </c>
      <c r="I174" s="56" t="n">
        <f aca="false">F174/N174</f>
        <v>5.00077487573564</v>
      </c>
      <c r="J174" s="139" t="n">
        <f aca="false">$H174*B174</f>
        <v>102.014505472324</v>
      </c>
      <c r="K174" s="139" t="n">
        <f aca="false">$H174*C174</f>
        <v>136.835456673543</v>
      </c>
      <c r="L174" s="139" t="n">
        <f aca="false">$H174*F174</f>
        <v>162.61291256371</v>
      </c>
      <c r="M174" s="139" t="n">
        <f aca="false">$H174*G174</f>
        <v>140.92598037066</v>
      </c>
      <c r="N174" s="139" t="n">
        <f aca="false">H174*external_curves!K104</f>
        <v>10.7690670571993</v>
      </c>
      <c r="O174" s="139" t="n">
        <f aca="false">H174*external_curves!Q104</f>
        <v>269.389725732759</v>
      </c>
      <c r="P174" s="139" t="n">
        <f aca="false">H174*external_curves!S104</f>
        <v>193.517171217068</v>
      </c>
      <c r="Q174" s="35" t="n">
        <f aca="false">H174*external_curves!M104</f>
        <v>4.16367427716784</v>
      </c>
    </row>
    <row r="175" customFormat="false" ht="12.75" hidden="false" customHeight="false" outlineLevel="0" collapsed="false">
      <c r="A175" s="61" t="n">
        <v>39356</v>
      </c>
      <c r="B175" s="139" t="n">
        <f aca="false">B163*(1+$B$22)</f>
        <v>33.78487257792</v>
      </c>
      <c r="C175" s="139" t="n">
        <f aca="false">C163*(1+$B$22)</f>
        <v>45.04649677056</v>
      </c>
      <c r="D175" s="139"/>
      <c r="E175" s="139"/>
      <c r="F175" s="139" t="n">
        <f aca="false">$C$16*external_curves!K105</f>
        <v>54.1277523201215</v>
      </c>
      <c r="G175" s="139" t="n">
        <f aca="false">IF(swap_model!$B$37="Y",swap_model!B128,((F175*external_curves!AI105)+(Fwd_curves!B175*external_curves!AL105)+(Fwd_curves!C175*external_curves!AM105))/(external_curves!AH105))</f>
        <v>46.6047615558949</v>
      </c>
      <c r="H175" s="35" t="n">
        <f aca="false">external_curves!O105</f>
        <v>3.00504670832541</v>
      </c>
      <c r="I175" s="56" t="n">
        <f aca="false">F175/N175</f>
        <v>5.02488029825488</v>
      </c>
      <c r="J175" s="139" t="n">
        <f aca="false">$H175*B175</f>
        <v>101.525120131472</v>
      </c>
      <c r="K175" s="139" t="n">
        <f aca="false">$H175*C175</f>
        <v>135.366826841962</v>
      </c>
      <c r="L175" s="139" t="n">
        <f aca="false">$H175*F175</f>
        <v>162.656423938634</v>
      </c>
      <c r="M175" s="139" t="n">
        <f aca="false">$H175*G175</f>
        <v>140.049485305832</v>
      </c>
      <c r="N175" s="139" t="n">
        <f aca="false">H175*external_curves!K105</f>
        <v>10.7719486052075</v>
      </c>
      <c r="O175" s="139" t="n">
        <f aca="false">H175*external_curves!Q105</f>
        <v>159.228116039116</v>
      </c>
      <c r="P175" s="139" t="n">
        <f aca="false">H175*external_curves!S105</f>
        <v>139.112255077199</v>
      </c>
      <c r="Q175" s="35" t="n">
        <f aca="false">H175*external_curves!M105</f>
        <v>4.14117336902773</v>
      </c>
    </row>
    <row r="176" customFormat="false" ht="12.75" hidden="false" customHeight="false" outlineLevel="0" collapsed="false">
      <c r="A176" s="61" t="n">
        <v>39387</v>
      </c>
      <c r="B176" s="139" t="n">
        <f aca="false">B164*(1+$B$22)</f>
        <v>37.163359835712</v>
      </c>
      <c r="C176" s="139" t="n">
        <f aca="false">C164*(1+$B$22)</f>
        <v>45.04649677056</v>
      </c>
      <c r="D176" s="139"/>
      <c r="E176" s="139"/>
      <c r="F176" s="139" t="n">
        <f aca="false">$C$16*external_curves!K106</f>
        <v>56.6521893276436</v>
      </c>
      <c r="G176" s="139" t="n">
        <f aca="false">IF(swap_model!$B$37="Y",swap_model!B129,((F176*external_curves!AI106)+(Fwd_curves!B176*external_curves!AL106)+(Fwd_curves!C176*external_curves!AM106))/(external_curves!AH106))</f>
        <v>48.7934018810603</v>
      </c>
      <c r="H176" s="35" t="n">
        <f aca="false">external_curves!O106</f>
        <v>2.99014536325278</v>
      </c>
      <c r="I176" s="56" t="n">
        <f aca="false">F176/N176</f>
        <v>5.04992171470009</v>
      </c>
      <c r="J176" s="139" t="n">
        <f aca="false">$H176*B176</f>
        <v>111.123848095649</v>
      </c>
      <c r="K176" s="139" t="n">
        <f aca="false">$H176*C176</f>
        <v>134.695573449271</v>
      </c>
      <c r="L176" s="139" t="n">
        <f aca="false">$H176*F176</f>
        <v>169.398281236172</v>
      </c>
      <c r="M176" s="139" t="n">
        <f aca="false">$H176*G176</f>
        <v>145.899364391982</v>
      </c>
      <c r="N176" s="139" t="n">
        <f aca="false">H176*external_curves!K106</f>
        <v>11.2184292209385</v>
      </c>
      <c r="O176" s="139" t="n">
        <f aca="false">H176*external_curves!Q106</f>
        <v>153.191748498617</v>
      </c>
      <c r="P176" s="139" t="n">
        <f aca="false">H176*external_curves!S106</f>
        <v>131.712645589727</v>
      </c>
      <c r="Q176" s="35" t="n">
        <f aca="false">H176*external_curves!M106</f>
        <v>4.11805775533917</v>
      </c>
    </row>
    <row r="177" customFormat="false" ht="12.75" hidden="false" customHeight="false" outlineLevel="0" collapsed="false">
      <c r="A177" s="61" t="n">
        <v>39417</v>
      </c>
      <c r="B177" s="139" t="n">
        <f aca="false">B165*(1+$B$22)</f>
        <v>37.163359835712</v>
      </c>
      <c r="C177" s="139" t="n">
        <f aca="false">C165*(1+$B$22)</f>
        <v>45.04649677056</v>
      </c>
      <c r="D177" s="139"/>
      <c r="E177" s="139"/>
      <c r="F177" s="139" t="n">
        <f aca="false">$C$16*external_curves!K107</f>
        <v>58.5891886797</v>
      </c>
      <c r="G177" s="139" t="n">
        <f aca="false">IF(swap_model!$B$37="Y",swap_model!B130,((F177*external_curves!AI107)+(Fwd_curves!B177*external_curves!AL107)+(Fwd_curves!C177*external_curves!AM107))/(external_curves!AH107))</f>
        <v>49.5889637752429</v>
      </c>
      <c r="H177" s="35" t="n">
        <f aca="false">external_curves!O107</f>
        <v>2.97578913369501</v>
      </c>
      <c r="I177" s="56" t="n">
        <f aca="false">F177/N177</f>
        <v>5.07428427270667</v>
      </c>
      <c r="J177" s="139" t="n">
        <f aca="false">$H177*B177</f>
        <v>110.590322370709</v>
      </c>
      <c r="K177" s="139" t="n">
        <f aca="false">$H177*C177</f>
        <v>134.04887560086</v>
      </c>
      <c r="L177" s="139" t="n">
        <f aca="false">$H177*F177</f>
        <v>174.349071025058</v>
      </c>
      <c r="M177" s="139" t="n">
        <f aca="false">$H177*G177</f>
        <v>147.566299553563</v>
      </c>
      <c r="N177" s="139" t="n">
        <f aca="false">H177*external_curves!K107</f>
        <v>11.5462960943747</v>
      </c>
      <c r="O177" s="139" t="n">
        <f aca="false">H177*external_curves!Q107</f>
        <v>152.364428498025</v>
      </c>
      <c r="P177" s="139" t="n">
        <f aca="false">H177*external_curves!S107</f>
        <v>129.061206093984</v>
      </c>
      <c r="Q177" s="35" t="n">
        <f aca="false">H177*external_curves!M107</f>
        <v>4.09581797037701</v>
      </c>
    </row>
    <row r="178" customFormat="false" ht="12.75" hidden="false" customHeight="false" outlineLevel="0" collapsed="false">
      <c r="A178" s="61" t="n">
        <v>39448</v>
      </c>
      <c r="B178" s="139" t="n">
        <f aca="false">B166*(1+$B$22)</f>
        <v>37.9066270324263</v>
      </c>
      <c r="C178" s="139" t="n">
        <f aca="false">C166*(1+$B$22)</f>
        <v>44.2243982044973</v>
      </c>
      <c r="D178" s="139"/>
      <c r="E178" s="139"/>
      <c r="F178" s="139" t="n">
        <f aca="false">$C$16*external_curves!K108</f>
        <v>62.0865699477305</v>
      </c>
      <c r="G178" s="139" t="n">
        <f aca="false">IF(swap_model!$B$37="Y",swap_model!B131,((F178*external_curves!AI108)+(Fwd_curves!B178*external_curves!AL108)+(Fwd_curves!C178*external_curves!AM108))/(external_curves!AH108))</f>
        <v>50.8645919529091</v>
      </c>
      <c r="H178" s="35" t="n">
        <f aca="false">external_curves!O108</f>
        <v>2.98427483980377</v>
      </c>
      <c r="I178" s="56" t="n">
        <f aca="false">F178/N178</f>
        <v>5.05985568038126</v>
      </c>
      <c r="J178" s="139" t="n">
        <f aca="false">$H178*B178</f>
        <v>113.123793314695</v>
      </c>
      <c r="K178" s="139" t="n">
        <f aca="false">$H178*C178</f>
        <v>131.977758867144</v>
      </c>
      <c r="L178" s="139" t="n">
        <f aca="false">$H178*F178</f>
        <v>185.283388584729</v>
      </c>
      <c r="M178" s="139" t="n">
        <f aca="false">$H178*G178</f>
        <v>151.793922001952</v>
      </c>
      <c r="N178" s="139" t="n">
        <f aca="false">H178*external_curves!K108</f>
        <v>12.2704230850814</v>
      </c>
      <c r="O178" s="139" t="n">
        <f aca="false">H178*external_curves!Q108</f>
        <v>133.14505149682</v>
      </c>
      <c r="P178" s="139" t="n">
        <f aca="false">H178*external_curves!S108</f>
        <v>119.621184258994</v>
      </c>
      <c r="Q178" s="35" t="n">
        <f aca="false">H178*external_curves!M108</f>
        <v>4.09047777255974</v>
      </c>
    </row>
    <row r="179" customFormat="false" ht="12.75" hidden="false" customHeight="false" outlineLevel="0" collapsed="false">
      <c r="A179" s="61" t="n">
        <v>39479</v>
      </c>
      <c r="B179" s="139" t="n">
        <f aca="false">B167*(1+$B$22)</f>
        <v>34.4605700294784</v>
      </c>
      <c r="C179" s="139" t="n">
        <f aca="false">C167*(1+$B$22)</f>
        <v>43.075712536848</v>
      </c>
      <c r="D179" s="139"/>
      <c r="E179" s="139"/>
      <c r="F179" s="139" t="n">
        <f aca="false">$C$16*external_curves!K109</f>
        <v>59.9170933406031</v>
      </c>
      <c r="G179" s="139" t="n">
        <f aca="false">IF(swap_model!$B$37="Y",swap_model!B132,((F179*external_curves!AI109)+(Fwd_curves!B179*external_curves!AL109)+(Fwd_curves!C179*external_curves!AM109))/(external_curves!AH109))</f>
        <v>49.0441932749767</v>
      </c>
      <c r="H179" s="35" t="n">
        <f aca="false">external_curves!O109</f>
        <v>2.96914786412131</v>
      </c>
      <c r="I179" s="56" t="n">
        <f aca="false">F179/N179</f>
        <v>5.08563422605722</v>
      </c>
      <c r="J179" s="139" t="n">
        <f aca="false">$H179*B179</f>
        <v>102.318527899429</v>
      </c>
      <c r="K179" s="139" t="n">
        <f aca="false">$H179*C179</f>
        <v>127.898159874286</v>
      </c>
      <c r="L179" s="139" t="n">
        <f aca="false">$H179*F179</f>
        <v>177.902709716609</v>
      </c>
      <c r="M179" s="139" t="n">
        <f aca="false">$H179*G179</f>
        <v>145.61946170995</v>
      </c>
      <c r="N179" s="139" t="n">
        <f aca="false">H179*external_curves!K109</f>
        <v>11.7816364050734</v>
      </c>
      <c r="O179" s="139" t="n">
        <f aca="false">H179*external_curves!Q109</f>
        <v>126.283894408456</v>
      </c>
      <c r="P179" s="139" t="n">
        <f aca="false">H179*external_curves!S109</f>
        <v>116.174210660091</v>
      </c>
      <c r="Q179" s="35" t="n">
        <f aca="false">H179*external_curves!M109</f>
        <v>4.06711415164109</v>
      </c>
    </row>
    <row r="180" customFormat="false" ht="12.75" hidden="false" customHeight="false" outlineLevel="0" collapsed="false">
      <c r="A180" s="61" t="n">
        <v>39508</v>
      </c>
      <c r="B180" s="139" t="n">
        <f aca="false">B168*(1+$B$22)</f>
        <v>35.6092556971277</v>
      </c>
      <c r="C180" s="139" t="n">
        <f aca="false">C168*(1+$B$22)</f>
        <v>43.075712536848</v>
      </c>
      <c r="D180" s="139"/>
      <c r="E180" s="139"/>
      <c r="F180" s="139" t="n">
        <f aca="false">$C$16*external_curves!K110</f>
        <v>57.2005714571503</v>
      </c>
      <c r="G180" s="139" t="n">
        <f aca="false">IF(swap_model!$B$37="Y",swap_model!B133,((F180*external_curves!AI110)+(Fwd_curves!B180*external_curves!AL110)+(Fwd_curves!C180*external_curves!AM110))/(external_curves!AH110))</f>
        <v>48.2156588058839</v>
      </c>
      <c r="H180" s="35" t="n">
        <f aca="false">external_curves!O110</f>
        <v>2.95506237352681</v>
      </c>
      <c r="I180" s="56" t="n">
        <f aca="false">F180/N180</f>
        <v>5.10987522134039</v>
      </c>
      <c r="J180" s="139" t="n">
        <f aca="false">$H180*B180</f>
        <v>105.227571659877</v>
      </c>
      <c r="K180" s="139" t="n">
        <f aca="false">$H180*C180</f>
        <v>127.291417330497</v>
      </c>
      <c r="L180" s="139" t="n">
        <f aca="false">$H180*F180</f>
        <v>169.031256457257</v>
      </c>
      <c r="M180" s="139" t="n">
        <f aca="false">$H180*G180</f>
        <v>142.480279152074</v>
      </c>
      <c r="N180" s="139" t="n">
        <f aca="false">H180*external_curves!K110</f>
        <v>11.1941229441892</v>
      </c>
      <c r="O180" s="139" t="n">
        <f aca="false">H180*external_curves!Q110</f>
        <v>118.529858956644</v>
      </c>
      <c r="P180" s="139" t="n">
        <f aca="false">H180*external_curves!S110</f>
        <v>105.973932578489</v>
      </c>
      <c r="Q180" s="35" t="n">
        <f aca="false">H180*external_curves!M110</f>
        <v>4.04538767770116</v>
      </c>
    </row>
    <row r="181" customFormat="false" ht="12.75" hidden="false" customHeight="false" outlineLevel="0" collapsed="false">
      <c r="A181" s="61" t="n">
        <v>39539</v>
      </c>
      <c r="B181" s="139" t="n">
        <f aca="false">B169*(1+$B$22)</f>
        <v>33.8862271956538</v>
      </c>
      <c r="C181" s="139" t="n">
        <f aca="false">C169*(1+$B$22)</f>
        <v>43.075712536848</v>
      </c>
      <c r="D181" s="139"/>
      <c r="E181" s="139"/>
      <c r="F181" s="139" t="n">
        <f aca="false">$C$16*external_curves!K111</f>
        <v>53.6949231239089</v>
      </c>
      <c r="G181" s="139" t="n">
        <f aca="false">IF(swap_model!$B$37="Y",swap_model!B134,((F181*external_curves!AI111)+(Fwd_curves!B181*external_curves!AL111)+(Fwd_curves!C181*external_curves!AM111))/(external_curves!AH111))</f>
        <v>45.8871308978644</v>
      </c>
      <c r="H181" s="35" t="n">
        <f aca="false">external_curves!O111</f>
        <v>2.94007523529631</v>
      </c>
      <c r="I181" s="56" t="n">
        <f aca="false">F181/N181</f>
        <v>5.13592299228294</v>
      </c>
      <c r="J181" s="139" t="n">
        <f aca="false">$H181*B181</f>
        <v>99.6280573955659</v>
      </c>
      <c r="K181" s="139" t="n">
        <f aca="false">$H181*C181</f>
        <v>126.64583567233</v>
      </c>
      <c r="L181" s="139" t="n">
        <f aca="false">$H181*F181</f>
        <v>157.867113737744</v>
      </c>
      <c r="M181" s="139" t="n">
        <f aca="false">$H181*G181</f>
        <v>134.911617171611</v>
      </c>
      <c r="N181" s="139" t="n">
        <f aca="false">H181*external_curves!K111</f>
        <v>10.4547757442214</v>
      </c>
      <c r="O181" s="139" t="n">
        <f aca="false">H181*external_curves!Q111</f>
        <v>108.803234282927</v>
      </c>
      <c r="P181" s="139" t="n">
        <f aca="false">H181*external_curves!S111</f>
        <v>93.385576881605</v>
      </c>
      <c r="Q181" s="35" t="n">
        <f aca="false">H181*external_curves!M111</f>
        <v>4.02230071286237</v>
      </c>
    </row>
    <row r="182" customFormat="false" ht="12.75" hidden="false" customHeight="false" outlineLevel="0" collapsed="false">
      <c r="A182" s="61" t="n">
        <v>39569</v>
      </c>
      <c r="B182" s="139" t="n">
        <f aca="false">B170*(1+$B$22)</f>
        <v>36.757941364777</v>
      </c>
      <c r="C182" s="139" t="n">
        <f aca="false">C170*(1+$B$22)</f>
        <v>43.075712536848</v>
      </c>
      <c r="D182" s="139"/>
      <c r="E182" s="139"/>
      <c r="F182" s="139" t="n">
        <f aca="false">$C$16*external_curves!K112</f>
        <v>53.2572237192748</v>
      </c>
      <c r="G182" s="139" t="n">
        <f aca="false">IF(swap_model!$B$37="Y",swap_model!B135,((F182*external_curves!AI112)+(Fwd_curves!B182*external_curves!AL112)+(Fwd_curves!C182*external_curves!AM112))/(external_curves!AH112))</f>
        <v>46.3982450770761</v>
      </c>
      <c r="H182" s="35" t="n">
        <f aca="false">external_curves!O112</f>
        <v>2.92563989641053</v>
      </c>
      <c r="I182" s="56" t="n">
        <f aca="false">F182/N182</f>
        <v>5.16126404296244</v>
      </c>
      <c r="J182" s="139" t="n">
        <f aca="false">$H182*B182</f>
        <v>107.54049976671</v>
      </c>
      <c r="K182" s="139" t="n">
        <f aca="false">$H182*C182</f>
        <v>126.024023164114</v>
      </c>
      <c r="L182" s="139" t="n">
        <f aca="false">$H182*F182</f>
        <v>155.811458485171</v>
      </c>
      <c r="M182" s="139" t="n">
        <f aca="false">$H182*G182</f>
        <v>135.744556920927</v>
      </c>
      <c r="N182" s="139" t="n">
        <f aca="false">H182*external_curves!K112</f>
        <v>10.3186396347796</v>
      </c>
      <c r="O182" s="139" t="n">
        <f aca="false">H182*external_curves!Q112</f>
        <v>100.202337117679</v>
      </c>
      <c r="P182" s="139" t="n">
        <f aca="false">H182*external_curves!S112</f>
        <v>72.6920180480902</v>
      </c>
      <c r="Q182" s="35" t="n">
        <f aca="false">H182*external_curves!M112</f>
        <v>4.00009329811094</v>
      </c>
    </row>
    <row r="183" customFormat="false" ht="12.75" hidden="false" customHeight="false" outlineLevel="0" collapsed="false">
      <c r="A183" s="61" t="n">
        <v>39600</v>
      </c>
      <c r="B183" s="139" t="n">
        <f aca="false">B171*(1+$B$22)</f>
        <v>36.757941364777</v>
      </c>
      <c r="C183" s="139" t="n">
        <f aca="false">C171*(1+$B$22)</f>
        <v>43.075712536848</v>
      </c>
      <c r="D183" s="139"/>
      <c r="E183" s="139"/>
      <c r="F183" s="139" t="n">
        <f aca="false">$C$16*external_curves!K113</f>
        <v>54.8511551197087</v>
      </c>
      <c r="G183" s="139" t="n">
        <f aca="false">IF(swap_model!$B$37="Y",swap_model!B136,((F183*external_curves!AI113)+(Fwd_curves!B183*external_curves!AL113)+(Fwd_curves!C183*external_curves!AM113))/(external_curves!AH113))</f>
        <v>47.2882515130737</v>
      </c>
      <c r="H183" s="35" t="n">
        <f aca="false">external_curves!O113</f>
        <v>2.91079368849576</v>
      </c>
      <c r="I183" s="56" t="n">
        <f aca="false">F183/N183</f>
        <v>5.18758854661506</v>
      </c>
      <c r="J183" s="139" t="n">
        <f aca="false">$H183*B183</f>
        <v>106.99478372669</v>
      </c>
      <c r="K183" s="139" t="n">
        <f aca="false">$H183*C183</f>
        <v>125.384512179715</v>
      </c>
      <c r="L183" s="139" t="n">
        <f aca="false">$H183*F183</f>
        <v>159.66039612915</v>
      </c>
      <c r="M183" s="139" t="n">
        <f aca="false">$H183*G183</f>
        <v>137.646344044255</v>
      </c>
      <c r="N183" s="139" t="n">
        <f aca="false">H183*external_curves!K113</f>
        <v>10.5735361674934</v>
      </c>
      <c r="O183" s="139" t="n">
        <f aca="false">H183*external_curves!Q113</f>
        <v>107.585533383619</v>
      </c>
      <c r="P183" s="139" t="n">
        <f aca="false">H183*external_curves!S113</f>
        <v>79.7887371222529</v>
      </c>
      <c r="Q183" s="35" t="n">
        <f aca="false">H183*external_curves!M113</f>
        <v>3.97728404375672</v>
      </c>
    </row>
    <row r="184" customFormat="false" ht="12.75" hidden="false" customHeight="false" outlineLevel="0" collapsed="false">
      <c r="A184" s="61" t="n">
        <v>39630</v>
      </c>
      <c r="B184" s="139" t="n">
        <f aca="false">B172*(1+$B$22)</f>
        <v>34.4605700294784</v>
      </c>
      <c r="C184" s="139" t="n">
        <f aca="false">C172*(1+$B$22)</f>
        <v>43.8797925042025</v>
      </c>
      <c r="D184" s="139"/>
      <c r="E184" s="139"/>
      <c r="F184" s="139" t="n">
        <f aca="false">$C$16*external_curves!K114</f>
        <v>54.6105534269503</v>
      </c>
      <c r="G184" s="139" t="n">
        <f aca="false">IF(swap_model!$B$37="Y",swap_model!B137,((F184*external_curves!AI114)+(Fwd_curves!B184*external_curves!AL114)+(Fwd_curves!C184*external_curves!AM114))/(external_curves!AH114))</f>
        <v>46.5990213943767</v>
      </c>
      <c r="H184" s="35" t="n">
        <f aca="false">external_curves!O114</f>
        <v>2.89649413354363</v>
      </c>
      <c r="I184" s="56" t="n">
        <f aca="false">F184/N184</f>
        <v>5.21319888935053</v>
      </c>
      <c r="J184" s="139" t="n">
        <f aca="false">$H184*B184</f>
        <v>99.8148389289537</v>
      </c>
      <c r="K184" s="139" t="n">
        <f aca="false">$H184*C184</f>
        <v>127.097561569534</v>
      </c>
      <c r="L184" s="139" t="n">
        <f aca="false">$H184*F184</f>
        <v>158.179147630733</v>
      </c>
      <c r="M184" s="139" t="n">
        <f aca="false">$H184*G184</f>
        <v>134.973792097686</v>
      </c>
      <c r="N184" s="139" t="n">
        <f aca="false">H184*external_curves!K114</f>
        <v>10.4754402404459</v>
      </c>
      <c r="O184" s="139" t="n">
        <f aca="false">H184*external_curves!Q114</f>
        <v>235.214399295488</v>
      </c>
      <c r="P184" s="139" t="n">
        <f aca="false">H184*external_curves!S114</f>
        <v>171.497746958589</v>
      </c>
      <c r="Q184" s="35" t="n">
        <f aca="false">H184*external_curves!M114</f>
        <v>3.95534366326965</v>
      </c>
    </row>
    <row r="185" customFormat="false" ht="12.75" hidden="false" customHeight="false" outlineLevel="0" collapsed="false">
      <c r="A185" s="61" t="n">
        <v>39661</v>
      </c>
      <c r="B185" s="139" t="n">
        <f aca="false">B173*(1+$B$22)</f>
        <v>34.4605700294784</v>
      </c>
      <c r="C185" s="139" t="n">
        <f aca="false">C173*(1+$B$22)</f>
        <v>46.223111266207</v>
      </c>
      <c r="D185" s="139"/>
      <c r="E185" s="139"/>
      <c r="F185" s="139" t="n">
        <f aca="false">$C$16*external_curves!K115</f>
        <v>54.5659701208304</v>
      </c>
      <c r="G185" s="139" t="n">
        <f aca="false">IF(swap_model!$B$37="Y",swap_model!B138,((F185*external_curves!AI115)+(Fwd_curves!B185*external_curves!AL115)+(Fwd_curves!C185*external_curves!AM115))/(external_curves!AH115))</f>
        <v>47.4406710389803</v>
      </c>
      <c r="H185" s="35" t="n">
        <f aca="false">external_curves!O115</f>
        <v>2.88178761796326</v>
      </c>
      <c r="I185" s="56" t="n">
        <f aca="false">F185/N185</f>
        <v>5.2398032061336</v>
      </c>
      <c r="J185" s="139" t="n">
        <f aca="false">$H185*B185</f>
        <v>99.3080440189067</v>
      </c>
      <c r="K185" s="139" t="n">
        <f aca="false">$H185*C185</f>
        <v>133.205189710694</v>
      </c>
      <c r="L185" s="139" t="n">
        <f aca="false">$H185*F185</f>
        <v>157.247537056362</v>
      </c>
      <c r="M185" s="139" t="n">
        <f aca="false">$H185*G185</f>
        <v>136.713938388002</v>
      </c>
      <c r="N185" s="139" t="n">
        <f aca="false">H185*external_curves!K115</f>
        <v>10.413744175918</v>
      </c>
      <c r="O185" s="139" t="n">
        <f aca="false">H185*external_curves!Q115</f>
        <v>285.000805859214</v>
      </c>
      <c r="P185" s="139" t="n">
        <f aca="false">H185*external_curves!S115</f>
        <v>209.897694202583</v>
      </c>
      <c r="Q185" s="35" t="n">
        <f aca="false">H185*external_curves!M115</f>
        <v>3.93280858121521</v>
      </c>
    </row>
    <row r="186" customFormat="false" ht="12.75" hidden="false" customHeight="false" outlineLevel="0" collapsed="false">
      <c r="A186" s="61" t="n">
        <v>39692</v>
      </c>
      <c r="B186" s="139" t="n">
        <f aca="false">B174*(1+$B$22)</f>
        <v>34.4605700294784</v>
      </c>
      <c r="C186" s="139" t="n">
        <f aca="false">C174*(1+$B$22)</f>
        <v>46.223111266207</v>
      </c>
      <c r="D186" s="139"/>
      <c r="E186" s="139"/>
      <c r="F186" s="139" t="n">
        <f aca="false">$C$16*external_curves!K116</f>
        <v>54.3247156085957</v>
      </c>
      <c r="G186" s="139" t="n">
        <f aca="false">IF(swap_model!$B$37="Y",swap_model!B139,((F186*external_curves!AI116)+(Fwd_curves!B186*external_curves!AL116)+(Fwd_curves!C186*external_curves!AM116))/(external_curves!AH116))</f>
        <v>47.3086077535078</v>
      </c>
      <c r="H186" s="35" t="n">
        <f aca="false">external_curves!O116</f>
        <v>2.86715162234145</v>
      </c>
      <c r="I186" s="56" t="n">
        <f aca="false">F186/N186</f>
        <v>5.26655091496997</v>
      </c>
      <c r="J186" s="139" t="n">
        <f aca="false">$H186*B186</f>
        <v>98.8036792668302</v>
      </c>
      <c r="K186" s="139" t="n">
        <f aca="false">$H186*C186</f>
        <v>132.528668456575</v>
      </c>
      <c r="L186" s="139" t="n">
        <f aca="false">$H186*F186</f>
        <v>155.757196490423</v>
      </c>
      <c r="M186" s="139" t="n">
        <f aca="false">$H186*G186</f>
        <v>135.640951471185</v>
      </c>
      <c r="N186" s="139" t="n">
        <f aca="false">H186*external_curves!K116</f>
        <v>10.3150461251936</v>
      </c>
      <c r="O186" s="139" t="n">
        <f aca="false">H186*external_curves!Q116</f>
        <v>253.394664673941</v>
      </c>
      <c r="P186" s="139" t="n">
        <f aca="false">H186*external_curves!S116</f>
        <v>183.509093961527</v>
      </c>
      <c r="Q186" s="35" t="n">
        <f aca="false">H186*external_curves!M116</f>
        <v>3.9104114918818</v>
      </c>
    </row>
    <row r="187" customFormat="false" ht="12.75" hidden="false" customHeight="false" outlineLevel="0" collapsed="false">
      <c r="A187" s="61" t="n">
        <v>39722</v>
      </c>
      <c r="B187" s="139" t="n">
        <f aca="false">B175*(1+$B$22)</f>
        <v>34.4605700294784</v>
      </c>
      <c r="C187" s="139" t="n">
        <f aca="false">C175*(1+$B$22)</f>
        <v>45.9474267059712</v>
      </c>
      <c r="D187" s="139"/>
      <c r="E187" s="139"/>
      <c r="F187" s="139" t="n">
        <f aca="false">$C$16*external_curves!K117</f>
        <v>54.5770381816169</v>
      </c>
      <c r="G187" s="139" t="n">
        <f aca="false">IF(swap_model!$B$37="Y",swap_model!B140,((F187*external_curves!AI117)+(Fwd_curves!B187*external_curves!AL117)+(Fwd_curves!C187*external_curves!AM117))/(external_curves!AH117))</f>
        <v>47.2508642518935</v>
      </c>
      <c r="H187" s="35" t="n">
        <f aca="false">external_curves!O117</f>
        <v>2.85305460250588</v>
      </c>
      <c r="I187" s="56" t="n">
        <f aca="false">F187/N187</f>
        <v>5.29257308526007</v>
      </c>
      <c r="J187" s="139" t="n">
        <f aca="false">$H187*B187</f>
        <v>98.3178879275796</v>
      </c>
      <c r="K187" s="139" t="n">
        <f aca="false">$H187*C187</f>
        <v>131.090517236773</v>
      </c>
      <c r="L187" s="139" t="n">
        <f aca="false">$H187*F187</f>
        <v>155.711269975201</v>
      </c>
      <c r="M187" s="139" t="n">
        <f aca="false">$H187*G187</f>
        <v>134.809295726245</v>
      </c>
      <c r="N187" s="139" t="n">
        <f aca="false">H187*external_curves!K117</f>
        <v>10.3120046341193</v>
      </c>
      <c r="O187" s="139" t="n">
        <f aca="false">H187*external_curves!Q117</f>
        <v>149.915839554808</v>
      </c>
      <c r="P187" s="139" t="n">
        <f aca="false">H187*external_curves!S117</f>
        <v>130.952383844975</v>
      </c>
      <c r="Q187" s="35" t="n">
        <f aca="false">H187*external_curves!M117</f>
        <v>3.88886743332834</v>
      </c>
    </row>
    <row r="188" customFormat="false" ht="12.75" hidden="false" customHeight="false" outlineLevel="0" collapsed="false">
      <c r="A188" s="61" t="n">
        <v>39753</v>
      </c>
      <c r="B188" s="139" t="n">
        <f aca="false">B176*(1+$B$22)</f>
        <v>37.9066270324263</v>
      </c>
      <c r="C188" s="139" t="n">
        <f aca="false">C176*(1+$B$22)</f>
        <v>45.9474267059712</v>
      </c>
      <c r="D188" s="139"/>
      <c r="E188" s="139"/>
      <c r="F188" s="139" t="n">
        <f aca="false">$C$16*external_curves!K118</f>
        <v>56.537292027224</v>
      </c>
      <c r="G188" s="139" t="n">
        <f aca="false">IF(swap_model!$B$37="Y",swap_model!B141,((F188*external_curves!AI118)+(Fwd_curves!B188*external_curves!AL118)+(Fwd_curves!C188*external_curves!AM118))/(external_curves!AH118))</f>
        <v>49.1591653872727</v>
      </c>
      <c r="H188" s="35" t="n">
        <f aca="false">external_curves!O118</f>
        <v>2.83855645097402</v>
      </c>
      <c r="I188" s="56" t="n">
        <f aca="false">F188/N188</f>
        <v>5.31960532080261</v>
      </c>
      <c r="J188" s="139" t="n">
        <f aca="false">$H188*B188</f>
        <v>107.60010069756</v>
      </c>
      <c r="K188" s="139" t="n">
        <f aca="false">$H188*C188</f>
        <v>130.424364481891</v>
      </c>
      <c r="L188" s="139" t="n">
        <f aca="false">$H188*F188</f>
        <v>160.484295004479</v>
      </c>
      <c r="M188" s="139" t="n">
        <f aca="false">$H188*G188</f>
        <v>139.541066034542</v>
      </c>
      <c r="N188" s="139" t="n">
        <f aca="false">H188*external_curves!K118</f>
        <v>10.6280990069191</v>
      </c>
      <c r="O188" s="139" t="n">
        <f aca="false">H188*external_curves!Q118</f>
        <v>144.229374746158</v>
      </c>
      <c r="P188" s="139" t="n">
        <f aca="false">H188*external_curves!S118</f>
        <v>122.96875333027</v>
      </c>
      <c r="Q188" s="35" t="n">
        <f aca="false">H188*external_curves!M118</f>
        <v>3.86673926933399</v>
      </c>
    </row>
    <row r="189" customFormat="false" ht="12.75" hidden="false" customHeight="false" outlineLevel="0" collapsed="false">
      <c r="A189" s="61" t="n">
        <v>39783</v>
      </c>
      <c r="B189" s="139" t="n">
        <f aca="false">B177*(1+$B$22)</f>
        <v>37.9066270324263</v>
      </c>
      <c r="C189" s="139" t="n">
        <f aca="false">C177*(1+$B$22)</f>
        <v>45.9474267059712</v>
      </c>
      <c r="D189" s="139"/>
      <c r="E189" s="139"/>
      <c r="F189" s="139" t="n">
        <f aca="false">$C$16*external_curves!K119</f>
        <v>58.3978070204961</v>
      </c>
      <c r="G189" s="139" t="n">
        <f aca="false">IF(swap_model!$B$37="Y",swap_model!B142,((F189*external_curves!AI119)+(Fwd_curves!B189*external_curves!AL119)+(Fwd_curves!C189*external_curves!AM119))/(external_curves!AH119))</f>
        <v>49.9358045664132</v>
      </c>
      <c r="H189" s="35" t="n">
        <f aca="false">external_curves!O119</f>
        <v>2.8245922404841</v>
      </c>
      <c r="I189" s="56" t="n">
        <f aca="false">F189/N189</f>
        <v>5.34590436933724</v>
      </c>
      <c r="J189" s="139" t="n">
        <f aca="false">$H189*B189</f>
        <v>107.070764578716</v>
      </c>
      <c r="K189" s="139" t="n">
        <f aca="false">$H189*C189</f>
        <v>129.782744943898</v>
      </c>
      <c r="L189" s="139" t="n">
        <f aca="false">$H189*F189</f>
        <v>164.949992571381</v>
      </c>
      <c r="M189" s="139" t="n">
        <f aca="false">$H189*G189</f>
        <v>141.048286100621</v>
      </c>
      <c r="N189" s="139" t="n">
        <f aca="false">H189*external_curves!K119</f>
        <v>10.9238405676411</v>
      </c>
      <c r="O189" s="139" t="n">
        <f aca="false">H189*external_curves!Q119</f>
        <v>143.435426752315</v>
      </c>
      <c r="P189" s="139" t="n">
        <f aca="false">H189*external_curves!S119</f>
        <v>122.477703540516</v>
      </c>
      <c r="Q189" s="35" t="n">
        <f aca="false">H189*external_curves!M119</f>
        <v>3.84545380033016</v>
      </c>
    </row>
    <row r="190" customFormat="false" ht="12.75" hidden="false" customHeight="false" outlineLevel="0" collapsed="false">
      <c r="A190" s="61" t="n">
        <v>39814</v>
      </c>
      <c r="B190" s="139" t="n">
        <f aca="false">B178*(1+$B$22)</f>
        <v>38.6647595730748</v>
      </c>
      <c r="C190" s="139" t="n">
        <f aca="false">C178*(1+$B$22)</f>
        <v>45.1088861685872</v>
      </c>
      <c r="D190" s="139"/>
      <c r="E190" s="139"/>
      <c r="F190" s="139" t="n">
        <f aca="false">$C$16*external_curves!K120</f>
        <v>62.1178689295718</v>
      </c>
      <c r="G190" s="139" t="n">
        <f aca="false">IF(swap_model!$B$37="Y",swap_model!B143,((F190*external_curves!AI120)+(Fwd_curves!B190*external_curves!AL120)+(Fwd_curves!C190*external_curves!AM120))/(external_curves!AH120))</f>
        <v>51.3352368939161</v>
      </c>
      <c r="H190" s="35" t="n">
        <f aca="false">external_curves!O120</f>
        <v>2.81023071998511</v>
      </c>
      <c r="I190" s="56" t="n">
        <f aca="false">F190/N190</f>
        <v>5.37322430240888</v>
      </c>
      <c r="J190" s="139" t="n">
        <f aca="false">$H190*B190</f>
        <v>108.656895133093</v>
      </c>
      <c r="K190" s="139" t="n">
        <f aca="false">$H190*C190</f>
        <v>126.766377655275</v>
      </c>
      <c r="L190" s="139" t="n">
        <f aca="false">$H190*F190</f>
        <v>174.565543525891</v>
      </c>
      <c r="M190" s="139" t="n">
        <f aca="false">$H190*G190</f>
        <v>144.263859736996</v>
      </c>
      <c r="N190" s="139" t="n">
        <f aca="false">H190*external_curves!K120</f>
        <v>11.5606320215822</v>
      </c>
      <c r="O190" s="139" t="n">
        <f aca="false">H190*external_curves!Q120</f>
        <v>124.840250752728</v>
      </c>
      <c r="P190" s="139" t="n">
        <f aca="false">H190*external_curves!S120</f>
        <v>112.118587432349</v>
      </c>
      <c r="Q190" s="35" t="n">
        <f aca="false">H190*external_curves!M120</f>
        <v>3.82359114097175</v>
      </c>
    </row>
    <row r="191" customFormat="false" ht="12.75" hidden="false" customHeight="false" outlineLevel="0" collapsed="false">
      <c r="A191" s="61" t="n">
        <v>39845</v>
      </c>
      <c r="B191" s="139" t="n">
        <f aca="false">B179*(1+$B$22)</f>
        <v>35.149781430068</v>
      </c>
      <c r="C191" s="139" t="n">
        <f aca="false">C179*(1+$B$22)</f>
        <v>43.937226787585</v>
      </c>
      <c r="D191" s="139"/>
      <c r="E191" s="139"/>
      <c r="F191" s="139" t="n">
        <f aca="false">$C$16*external_curves!K121</f>
        <v>60.0487071946226</v>
      </c>
      <c r="G191" s="139" t="n">
        <f aca="false">IF(swap_model!$B$37="Y",swap_model!B144,((F191*external_curves!AI121)+(Fwd_curves!B191*external_curves!AL121)+(Fwd_curves!C191*external_curves!AM121))/(external_curves!AH121))</f>
        <v>49.5171114200988</v>
      </c>
      <c r="H191" s="35" t="n">
        <f aca="false">external_curves!O121</f>
        <v>2.7959381731953</v>
      </c>
      <c r="I191" s="56" t="n">
        <f aca="false">F191/N191</f>
        <v>5.40069166935231</v>
      </c>
      <c r="J191" s="139" t="n">
        <f aca="false">$H191*B191</f>
        <v>98.2766156797985</v>
      </c>
      <c r="K191" s="139" t="n">
        <f aca="false">$H191*C191</f>
        <v>122.845769599748</v>
      </c>
      <c r="L191" s="139" t="n">
        <f aca="false">$H191*F191</f>
        <v>167.892472696473</v>
      </c>
      <c r="M191" s="139" t="n">
        <f aca="false">$H191*G191</f>
        <v>138.446782045819</v>
      </c>
      <c r="N191" s="139" t="n">
        <f aca="false">H191*external_curves!K121</f>
        <v>11.1187068010909</v>
      </c>
      <c r="O191" s="139" t="n">
        <f aca="false">H191*external_curves!Q121</f>
        <v>118.428004849205</v>
      </c>
      <c r="P191" s="139" t="n">
        <f aca="false">H191*external_curves!S121</f>
        <v>108.905245459052</v>
      </c>
      <c r="Q191" s="35" t="n">
        <f aca="false">H191*external_curves!M121</f>
        <v>3.80186211393916</v>
      </c>
    </row>
    <row r="192" customFormat="false" ht="12.75" hidden="false" customHeight="false" outlineLevel="0" collapsed="false">
      <c r="A192" s="61" t="n">
        <v>39873</v>
      </c>
      <c r="B192" s="139" t="n">
        <f aca="false">B180*(1+$B$22)</f>
        <v>36.3214408110702</v>
      </c>
      <c r="C192" s="139" t="n">
        <f aca="false">C180*(1+$B$22)</f>
        <v>43.937226787585</v>
      </c>
      <c r="D192" s="139"/>
      <c r="E192" s="139"/>
      <c r="F192" s="139" t="n">
        <f aca="false">$C$16*external_curves!K122</f>
        <v>57.4193287797572</v>
      </c>
      <c r="G192" s="139" t="n">
        <f aca="false">IF(swap_model!$B$37="Y",swap_model!B145,((F192*external_curves!AI122)+(Fwd_curves!B192*external_curves!AL122)+(Fwd_curves!C192*external_curves!AM122))/(external_curves!AH122))</f>
        <v>48.7223194131773</v>
      </c>
      <c r="H192" s="35" t="n">
        <f aca="false">external_curves!O122</f>
        <v>2.78308780302543</v>
      </c>
      <c r="I192" s="56" t="n">
        <f aca="false">F192/N192</f>
        <v>5.4256283195899</v>
      </c>
      <c r="J192" s="139" t="n">
        <f aca="false">$H192*B192</f>
        <v>101.0857589096</v>
      </c>
      <c r="K192" s="139" t="n">
        <f aca="false">$H192*C192</f>
        <v>122.28115997129</v>
      </c>
      <c r="L192" s="139" t="n">
        <f aca="false">$H192*F192</f>
        <v>159.803033584849</v>
      </c>
      <c r="M192" s="139" t="n">
        <f aca="false">$H192*G192</f>
        <v>135.598492893923</v>
      </c>
      <c r="N192" s="139" t="n">
        <f aca="false">H192*external_curves!K122</f>
        <v>10.5829823566125</v>
      </c>
      <c r="O192" s="139" t="n">
        <f aca="false">H192*external_curves!Q122</f>
        <v>111.20109104688</v>
      </c>
      <c r="P192" s="139" t="n">
        <f aca="false">H192*external_curves!S122</f>
        <v>99.3883645109402</v>
      </c>
      <c r="Q192" s="35" t="n">
        <f aca="false">H192*external_curves!M122</f>
        <v>3.78235003560816</v>
      </c>
    </row>
    <row r="193" customFormat="false" ht="12.75" hidden="false" customHeight="false" outlineLevel="0" collapsed="false">
      <c r="A193" s="61" t="n">
        <v>39904</v>
      </c>
      <c r="B193" s="139" t="n">
        <f aca="false">B181*(1+$B$22)</f>
        <v>34.5639517395668</v>
      </c>
      <c r="C193" s="139" t="n">
        <f aca="false">C181*(1+$B$22)</f>
        <v>43.937226787585</v>
      </c>
      <c r="D193" s="139"/>
      <c r="E193" s="139"/>
      <c r="F193" s="139" t="n">
        <f aca="false">$C$16*external_curves!K123</f>
        <v>54.0066024089261</v>
      </c>
      <c r="G193" s="139" t="n">
        <f aca="false">IF(swap_model!$B$37="Y",swap_model!B146,((F193*external_curves!AI123)+(Fwd_curves!B193*external_curves!AL123)+(Fwd_curves!C193*external_curves!AM123))/(external_curves!AH123))</f>
        <v>46.4491712330066</v>
      </c>
      <c r="H193" s="35" t="n">
        <f aca="false">external_curves!O123</f>
        <v>2.76892567484442</v>
      </c>
      <c r="I193" s="56" t="n">
        <f aca="false">F193/N193</f>
        <v>5.4533785927094</v>
      </c>
      <c r="J193" s="139" t="n">
        <f aca="false">$H193*B193</f>
        <v>95.7050133957701</v>
      </c>
      <c r="K193" s="139" t="n">
        <f aca="false">$H193*C193</f>
        <v>121.658915333606</v>
      </c>
      <c r="L193" s="139" t="n">
        <f aca="false">$H193*F193</f>
        <v>149.54026802119</v>
      </c>
      <c r="M193" s="139" t="n">
        <f aca="false">$H193*G193</f>
        <v>128.614302802317</v>
      </c>
      <c r="N193" s="139" t="n">
        <f aca="false">H193*external_curves!K123</f>
        <v>9.90332900802583</v>
      </c>
      <c r="O193" s="139" t="n">
        <f aca="false">H193*external_curves!Q123</f>
        <v>102.107700708199</v>
      </c>
      <c r="P193" s="139" t="n">
        <f aca="false">H193*external_curves!S123</f>
        <v>87.6210688132471</v>
      </c>
      <c r="Q193" s="35" t="n">
        <f aca="false">H193*external_curves!M123</f>
        <v>3.76087295426146</v>
      </c>
    </row>
    <row r="194" customFormat="false" ht="12.75" hidden="false" customHeight="false" outlineLevel="0" collapsed="false">
      <c r="A194" s="61" t="n">
        <v>39934</v>
      </c>
      <c r="B194" s="139" t="n">
        <f aca="false">B182*(1+$B$22)</f>
        <v>37.4931001920725</v>
      </c>
      <c r="C194" s="139" t="n">
        <f aca="false">C182*(1+$B$22)</f>
        <v>43.937226787585</v>
      </c>
      <c r="D194" s="139"/>
      <c r="E194" s="139"/>
      <c r="F194" s="139" t="n">
        <f aca="false">$C$16*external_curves!K124</f>
        <v>53.5933244847206</v>
      </c>
      <c r="G194" s="139" t="n">
        <f aca="false">IF(swap_model!$B$37="Y",swap_model!B147,((F194*external_curves!AI124)+(Fwd_curves!B194*external_curves!AL124)+(Fwd_curves!C194*external_curves!AM124))/(external_curves!AH124))</f>
        <v>46.9812860733128</v>
      </c>
      <c r="H194" s="35" t="n">
        <f aca="false">external_curves!O124</f>
        <v>2.75528521268941</v>
      </c>
      <c r="I194" s="56" t="n">
        <f aca="false">F194/N194</f>
        <v>5.48037638007754</v>
      </c>
      <c r="J194" s="139" t="n">
        <f aca="false">$H194*B194</f>
        <v>103.3041845371</v>
      </c>
      <c r="K194" s="139" t="n">
        <f aca="false">$H194*C194</f>
        <v>121.059591254414</v>
      </c>
      <c r="L194" s="139" t="n">
        <f aca="false">$H194*F194</f>
        <v>147.664894451616</v>
      </c>
      <c r="M194" s="139" t="n">
        <f aca="false">$H194*G194</f>
        <v>129.44684279093</v>
      </c>
      <c r="N194" s="139" t="n">
        <f aca="false">H194*external_curves!K124</f>
        <v>9.77913208288849</v>
      </c>
      <c r="O194" s="139" t="n">
        <f aca="false">H194*external_curves!Q124</f>
        <v>94.0663707551922</v>
      </c>
      <c r="P194" s="139" t="n">
        <f aca="false">H194*external_curves!S124</f>
        <v>67.7441151878336</v>
      </c>
      <c r="Q194" s="35" t="n">
        <f aca="false">H194*external_curves!M124</f>
        <v>3.7402135489142</v>
      </c>
    </row>
    <row r="195" customFormat="false" ht="12.75" hidden="false" customHeight="false" outlineLevel="0" collapsed="false">
      <c r="A195" s="61" t="n">
        <v>39965</v>
      </c>
      <c r="B195" s="139" t="n">
        <f aca="false">B183*(1+$B$22)</f>
        <v>37.4931001920725</v>
      </c>
      <c r="C195" s="139" t="n">
        <f aca="false">C183*(1+$B$22)</f>
        <v>43.937226787585</v>
      </c>
      <c r="D195" s="139"/>
      <c r="E195" s="139"/>
      <c r="F195" s="139" t="n">
        <f aca="false">$C$16*external_curves!K125</f>
        <v>55.1924392266848</v>
      </c>
      <c r="G195" s="139" t="n">
        <f aca="false">IF(swap_model!$B$37="Y",swap_model!B148,((F195*external_curves!AI125)+(Fwd_curves!B195*external_curves!AL125)+(Fwd_curves!C195*external_curves!AM125))/(external_curves!AH125))</f>
        <v>47.8645441455752</v>
      </c>
      <c r="H195" s="35" t="n">
        <f aca="false">external_curves!O125</f>
        <v>2.74125675478221</v>
      </c>
      <c r="I195" s="56" t="n">
        <f aca="false">F195/N195</f>
        <v>5.50842235907218</v>
      </c>
      <c r="J195" s="139" t="n">
        <f aca="false">$H195*B195</f>
        <v>102.778214159245</v>
      </c>
      <c r="K195" s="139" t="n">
        <f aca="false">$H195*C195</f>
        <v>120.443219717865</v>
      </c>
      <c r="L195" s="139" t="n">
        <f aca="false">$H195*F195</f>
        <v>151.296646843057</v>
      </c>
      <c r="M195" s="139" t="n">
        <f aca="false">$H195*G195</f>
        <v>131.209004953629</v>
      </c>
      <c r="N195" s="139" t="n">
        <f aca="false">H195*external_curves!K125</f>
        <v>10.0196454862951</v>
      </c>
      <c r="O195" s="139" t="n">
        <f aca="false">H195*external_curves!Q125</f>
        <v>100.970678948021</v>
      </c>
      <c r="P195" s="139" t="n">
        <f aca="false">H195*external_curves!S125</f>
        <v>75.4831754591159</v>
      </c>
      <c r="Q195" s="35" t="n">
        <f aca="false">H195*external_curves!M125</f>
        <v>3.71899369974294</v>
      </c>
    </row>
    <row r="196" customFormat="false" ht="12.75" hidden="false" customHeight="false" outlineLevel="0" collapsed="false">
      <c r="A196" s="61" t="n">
        <v>39995</v>
      </c>
      <c r="B196" s="139" t="n">
        <f aca="false">B184*(1+$B$22)</f>
        <v>35.149781430068</v>
      </c>
      <c r="C196" s="139" t="n">
        <f aca="false">C184*(1+$B$22)</f>
        <v>44.7573883542866</v>
      </c>
      <c r="D196" s="139"/>
      <c r="E196" s="139"/>
      <c r="F196" s="139" t="n">
        <f aca="false">$C$16*external_curves!K126</f>
        <v>54.9548218655595</v>
      </c>
      <c r="G196" s="139" t="n">
        <f aca="false">IF(swap_model!$B$37="Y",swap_model!B149,((F196*external_curves!AI126)+(Fwd_curves!B196*external_curves!AL126)+(Fwd_curves!C196*external_curves!AM126))/(external_curves!AH126))</f>
        <v>47.1932212797153</v>
      </c>
      <c r="H196" s="35" t="n">
        <f aca="false">external_curves!O126</f>
        <v>2.72774507917793</v>
      </c>
      <c r="I196" s="56" t="n">
        <f aca="false">F196/N196</f>
        <v>5.5357079058688</v>
      </c>
      <c r="J196" s="139" t="n">
        <f aca="false">$H196*B196</f>
        <v>95.8796433300478</v>
      </c>
      <c r="K196" s="139" t="n">
        <f aca="false">$H196*C196</f>
        <v>122.086745840261</v>
      </c>
      <c r="L196" s="139" t="n">
        <f aca="false">$H196*F196</f>
        <v>149.90274492088</v>
      </c>
      <c r="M196" s="139" t="n">
        <f aca="false">$H196*G196</f>
        <v>128.731077116299</v>
      </c>
      <c r="N196" s="139" t="n">
        <f aca="false">H196*external_curves!K126</f>
        <v>9.9273341007205</v>
      </c>
      <c r="O196" s="139" t="n">
        <f aca="false">H196*external_curves!Q126</f>
        <v>220.25978334055</v>
      </c>
      <c r="P196" s="139" t="n">
        <f aca="false">H196*external_curves!S126</f>
        <v>160.622639940719</v>
      </c>
      <c r="Q196" s="35" t="n">
        <f aca="false">H196*external_curves!M126</f>
        <v>3.69858164376895</v>
      </c>
    </row>
    <row r="197" customFormat="false" ht="12.75" hidden="false" customHeight="false" outlineLevel="0" collapsed="false">
      <c r="A197" s="61" t="n">
        <v>40026</v>
      </c>
      <c r="B197" s="139" t="n">
        <f aca="false">B185*(1+$B$22)</f>
        <v>35.149781430068</v>
      </c>
      <c r="C197" s="139" t="n">
        <f aca="false">C185*(1+$B$22)</f>
        <v>47.1475734915312</v>
      </c>
      <c r="D197" s="139"/>
      <c r="E197" s="139"/>
      <c r="F197" s="139" t="n">
        <f aca="false">$C$16*external_curves!K127</f>
        <v>54.9113932102844</v>
      </c>
      <c r="G197" s="139" t="n">
        <f aca="false">IF(swap_model!$B$37="Y",swap_model!B150,((F197*external_curves!AI127)+(Fwd_curves!B197*external_curves!AL127)+(Fwd_curves!C197*external_curves!AM127))/(external_curves!AH127))</f>
        <v>48.0205464985096</v>
      </c>
      <c r="H197" s="35" t="n">
        <f aca="false">external_curves!O127</f>
        <v>2.71384911228192</v>
      </c>
      <c r="I197" s="56" t="n">
        <f aca="false">F197/N197</f>
        <v>5.56405289139428</v>
      </c>
      <c r="J197" s="139" t="n">
        <f aca="false">$H197*B197</f>
        <v>95.3912031308934</v>
      </c>
      <c r="K197" s="139" t="n">
        <f aca="false">$H197*C197</f>
        <v>127.951400466238</v>
      </c>
      <c r="L197" s="139" t="n">
        <f aca="false">$H197*F197</f>
        <v>149.021235717894</v>
      </c>
      <c r="M197" s="139" t="n">
        <f aca="false">$H197*G197</f>
        <v>130.320517486273</v>
      </c>
      <c r="N197" s="139" t="n">
        <f aca="false">H197*external_curves!K127</f>
        <v>9.86895600780753</v>
      </c>
      <c r="O197" s="139" t="n">
        <f aca="false">H197*external_curves!Q127</f>
        <v>266.820217583074</v>
      </c>
      <c r="P197" s="139" t="n">
        <f aca="false">H197*external_curves!S127</f>
        <v>196.539102016333</v>
      </c>
      <c r="Q197" s="35" t="n">
        <f aca="false">H197*external_curves!M127</f>
        <v>3.67761576214567</v>
      </c>
    </row>
    <row r="198" customFormat="false" ht="12.75" hidden="false" customHeight="false" outlineLevel="0" collapsed="false">
      <c r="A198" s="61" t="n">
        <v>40057</v>
      </c>
      <c r="B198" s="139" t="n">
        <f aca="false">B186*(1+$B$22)</f>
        <v>35.149781430068</v>
      </c>
      <c r="C198" s="139" t="n">
        <f aca="false">C186*(1+$B$22)</f>
        <v>47.1475734915312</v>
      </c>
      <c r="D198" s="139"/>
      <c r="E198" s="139"/>
      <c r="F198" s="139" t="n">
        <f aca="false">$C$16*external_curves!K128</f>
        <v>54.6536397855057</v>
      </c>
      <c r="G198" s="139" t="n">
        <f aca="false">IF(swap_model!$B$37="Y",swap_model!B151,((F198*external_curves!AI128)+(Fwd_curves!B198*external_curves!AL128)+(Fwd_curves!C198*external_curves!AM128))/(external_curves!AH128))</f>
        <v>47.8844122868944</v>
      </c>
      <c r="H198" s="35" t="n">
        <f aca="false">external_curves!O128</f>
        <v>2.70002002802224</v>
      </c>
      <c r="I198" s="56" t="n">
        <f aca="false">F198/N198</f>
        <v>5.5925511082452</v>
      </c>
      <c r="J198" s="139" t="n">
        <f aca="false">$H198*B198</f>
        <v>94.9051138417877</v>
      </c>
      <c r="K198" s="139" t="n">
        <f aca="false">$H198*C198</f>
        <v>127.299392699784</v>
      </c>
      <c r="L198" s="139" t="n">
        <f aca="false">$H198*F198</f>
        <v>147.565922025178</v>
      </c>
      <c r="M198" s="139" t="n">
        <f aca="false">$H198*G198</f>
        <v>129.288872204689</v>
      </c>
      <c r="N198" s="139" t="n">
        <f aca="false">H198*external_curves!K128</f>
        <v>9.77257761756148</v>
      </c>
      <c r="O198" s="139" t="n">
        <f aca="false">H198*external_curves!Q128</f>
        <v>237.324873305231</v>
      </c>
      <c r="P198" s="139" t="n">
        <f aca="false">H198*external_curves!S128</f>
        <v>171.894962377808</v>
      </c>
      <c r="Q198" s="35" t="n">
        <f aca="false">H198*external_curves!M128</f>
        <v>3.65677770886334</v>
      </c>
    </row>
    <row r="199" customFormat="false" ht="12.75" hidden="false" customHeight="false" outlineLevel="0" collapsed="false">
      <c r="A199" s="61" t="n">
        <v>40087</v>
      </c>
      <c r="B199" s="139" t="n">
        <f aca="false">B187*(1+$B$22)</f>
        <v>35.149781430068</v>
      </c>
      <c r="C199" s="139" t="n">
        <f aca="false">C187*(1+$B$22)</f>
        <v>46.8663752400906</v>
      </c>
      <c r="D199" s="139"/>
      <c r="E199" s="139"/>
      <c r="F199" s="139" t="n">
        <f aca="false">$C$16*external_curves!K129</f>
        <v>54.8848427981687</v>
      </c>
      <c r="G199" s="139" t="n">
        <f aca="false">IF(swap_model!$B$37="Y",swap_model!B152,((F199*external_curves!AI129)+(Fwd_curves!B199*external_curves!AL129)+(Fwd_curves!C199*external_curves!AM129))/(external_curves!AH129))</f>
        <v>47.8419361801853</v>
      </c>
      <c r="H199" s="35" t="n">
        <f aca="false">external_curves!O129</f>
        <v>2.68670044106339</v>
      </c>
      <c r="I199" s="56" t="n">
        <f aca="false">F199/N199</f>
        <v>5.62027674139341</v>
      </c>
      <c r="J199" s="139" t="n">
        <f aca="false">$H199*B199</f>
        <v>94.4369332714455</v>
      </c>
      <c r="K199" s="139" t="n">
        <f aca="false">$H199*C199</f>
        <v>125.915911028594</v>
      </c>
      <c r="L199" s="139" t="n">
        <f aca="false">$H199*F199</f>
        <v>147.459131353535</v>
      </c>
      <c r="M199" s="139" t="n">
        <f aca="false">$H199*G199</f>
        <v>128.53695103663</v>
      </c>
      <c r="N199" s="139" t="n">
        <f aca="false">H199*external_curves!K129</f>
        <v>9.76550538765131</v>
      </c>
      <c r="O199" s="139" t="n">
        <f aca="false">H199*external_curves!Q129</f>
        <v>140.559722030957</v>
      </c>
      <c r="P199" s="139" t="n">
        <f aca="false">H199*external_curves!S129</f>
        <v>122.75732849242</v>
      </c>
      <c r="Q199" s="35" t="n">
        <f aca="false">H199*external_curves!M129</f>
        <v>3.63673278217223</v>
      </c>
    </row>
    <row r="200" customFormat="false" ht="12.75" hidden="false" customHeight="false" outlineLevel="0" collapsed="false">
      <c r="A200" s="61" t="n">
        <v>40118</v>
      </c>
      <c r="B200" s="139" t="n">
        <f aca="false">B188*(1+$B$22)</f>
        <v>38.6647595730748</v>
      </c>
      <c r="C200" s="139" t="n">
        <f aca="false">C188*(1+$B$22)</f>
        <v>46.8663752400906</v>
      </c>
      <c r="D200" s="139"/>
      <c r="E200" s="139"/>
      <c r="F200" s="139" t="n">
        <f aca="false">$C$16*external_curves!K130</f>
        <v>55.7568347728001</v>
      </c>
      <c r="G200" s="139" t="n">
        <f aca="false">IF(swap_model!$B$37="Y",swap_model!B153,((F200*external_curves!AI130)+(Fwd_curves!B200*external_curves!AL130)+(Fwd_curves!C200*external_curves!AM130))/(external_curves!AH130))</f>
        <v>49.207982737478</v>
      </c>
      <c r="H200" s="35" t="n">
        <f aca="false">external_curves!O130</f>
        <v>2.67300208732744</v>
      </c>
      <c r="I200" s="56" t="n">
        <f aca="false">F200/N200</f>
        <v>5.64907901553399</v>
      </c>
      <c r="J200" s="139" t="n">
        <f aca="false">$H200*B200</f>
        <v>103.350983044843</v>
      </c>
      <c r="K200" s="139" t="n">
        <f aca="false">$H200*C200</f>
        <v>125.273918842233</v>
      </c>
      <c r="L200" s="139" t="n">
        <f aca="false">$H200*F200</f>
        <v>149.038135730466</v>
      </c>
      <c r="M200" s="139" t="n">
        <f aca="false">$H200*G200</f>
        <v>131.533040570452</v>
      </c>
      <c r="N200" s="139" t="n">
        <f aca="false">H200*external_curves!K130</f>
        <v>9.87007521393815</v>
      </c>
      <c r="O200" s="139" t="n">
        <f aca="false">H200*external_curves!Q130</f>
        <v>135.243780171383</v>
      </c>
      <c r="P200" s="139" t="n">
        <f aca="false">H200*external_curves!S130</f>
        <v>115.282666092612</v>
      </c>
      <c r="Q200" s="35" t="n">
        <f aca="false">H200*external_curves!M130</f>
        <v>3.61614385484982</v>
      </c>
    </row>
    <row r="201" customFormat="false" ht="12.75" hidden="false" customHeight="false" outlineLevel="0" collapsed="false">
      <c r="A201" s="61" t="n">
        <v>40148</v>
      </c>
      <c r="B201" s="139" t="n">
        <f aca="false">B189*(1+$B$22)</f>
        <v>38.6647595730748</v>
      </c>
      <c r="C201" s="139" t="n">
        <f aca="false">C189*(1+$B$22)</f>
        <v>46.8663752400906</v>
      </c>
      <c r="D201" s="139"/>
      <c r="E201" s="139"/>
      <c r="F201" s="139" t="n">
        <f aca="false">$C$16*external_curves!K131</f>
        <v>57.5432900724286</v>
      </c>
      <c r="G201" s="139" t="n">
        <f aca="false">IF(swap_model!$B$37="Y",swap_model!B154,((F201*external_curves!AI131)+(Fwd_curves!B201*external_curves!AL131)+(Fwd_curves!C201*external_curves!AM131))/(external_curves!AH131))</f>
        <v>49.9776516696446</v>
      </c>
      <c r="H201" s="35" t="n">
        <f aca="false">external_curves!O131</f>
        <v>2.65980845356809</v>
      </c>
      <c r="I201" s="56" t="n">
        <f aca="false">F201/N201</f>
        <v>5.67710053697424</v>
      </c>
      <c r="J201" s="139" t="n">
        <f aca="false">$H201*B201</f>
        <v>102.840854367642</v>
      </c>
      <c r="K201" s="139" t="n">
        <f aca="false">$H201*C201</f>
        <v>124.655581051687</v>
      </c>
      <c r="L201" s="139" t="n">
        <f aca="false">$H201*F201</f>
        <v>153.054129380766</v>
      </c>
      <c r="M201" s="139" t="n">
        <f aca="false">$H201*G201</f>
        <v>132.930980400402</v>
      </c>
      <c r="N201" s="139" t="n">
        <f aca="false">H201*external_curves!K131</f>
        <v>10.1360350583289</v>
      </c>
      <c r="O201" s="139" t="n">
        <f aca="false">H201*external_curves!Q131</f>
        <v>134.503059348814</v>
      </c>
      <c r="P201" s="139" t="n">
        <f aca="false">H201*external_curves!S131</f>
        <v>114.827607506862</v>
      </c>
      <c r="Q201" s="35" t="n">
        <f aca="false">H201*external_curves!M131</f>
        <v>3.5963384852624</v>
      </c>
    </row>
    <row r="202" customFormat="false" ht="12.75" hidden="false" customHeight="false" outlineLevel="0" collapsed="false">
      <c r="A202" s="61" t="n">
        <v>40179</v>
      </c>
      <c r="B202" s="139" t="n">
        <f aca="false">B190*(1+$B$22)</f>
        <v>39.4380547645363</v>
      </c>
      <c r="C202" s="139" t="n">
        <f aca="false">C190*(1+$B$22)</f>
        <v>46.011063891959</v>
      </c>
      <c r="D202" s="139"/>
      <c r="E202" s="139"/>
      <c r="F202" s="139" t="n">
        <f aca="false">$C$16*external_curves!K132</f>
        <v>61.3861029245524</v>
      </c>
      <c r="G202" s="139" t="n">
        <f aca="false">IF(swap_model!$B$37="Y",swap_model!B155,((F202*external_curves!AI132)+(Fwd_curves!B202*external_curves!AL132)+(Fwd_curves!C202*external_curves!AM132))/(external_curves!AH132))</f>
        <v>51.4704020391961</v>
      </c>
      <c r="H202" s="35" t="n">
        <f aca="false">external_curves!O132</f>
        <v>2.64623967495717</v>
      </c>
      <c r="I202" s="56" t="n">
        <f aca="false">F202/N202</f>
        <v>5.70621026617493</v>
      </c>
      <c r="J202" s="139" t="n">
        <f aca="false">$H202*B202</f>
        <v>104.36254522105</v>
      </c>
      <c r="K202" s="139" t="n">
        <f aca="false">$H202*C202</f>
        <v>121.756302757891</v>
      </c>
      <c r="L202" s="139" t="n">
        <f aca="false">$H202*F202</f>
        <v>162.442341049955</v>
      </c>
      <c r="M202" s="139" t="n">
        <f aca="false">$H202*G202</f>
        <v>136.203019962117</v>
      </c>
      <c r="N202" s="139" t="n">
        <f aca="false">H202*external_curves!K132</f>
        <v>10.7577709304606</v>
      </c>
      <c r="O202" s="139" t="n">
        <f aca="false">H202*external_curves!Q132</f>
        <v>117.1138535184</v>
      </c>
      <c r="P202" s="139" t="n">
        <f aca="false">H202*external_curves!S132</f>
        <v>104.540191825708</v>
      </c>
      <c r="Q202" s="35" t="n">
        <f aca="false">H202*external_curves!M132</f>
        <v>3.57599552727939</v>
      </c>
    </row>
    <row r="203" customFormat="false" ht="12.75" hidden="false" customHeight="false" outlineLevel="0" collapsed="false">
      <c r="A203" s="61" t="n">
        <v>40210</v>
      </c>
      <c r="B203" s="139" t="n">
        <f aca="false">B191*(1+$B$22)</f>
        <v>35.8527770586693</v>
      </c>
      <c r="C203" s="139" t="n">
        <f aca="false">C191*(1+$B$22)</f>
        <v>44.8159713233367</v>
      </c>
      <c r="D203" s="139"/>
      <c r="E203" s="139"/>
      <c r="F203" s="139" t="n">
        <f aca="false">$C$16*external_curves!K133</f>
        <v>59.4155055508926</v>
      </c>
      <c r="G203" s="139" t="n">
        <f aca="false">IF(swap_model!$B$37="Y",swap_model!B156,((F203*external_curves!AI133)+(Fwd_curves!B203*external_curves!AL133)+(Fwd_curves!C203*external_curves!AM133))/(external_curves!AH133))</f>
        <v>49.6340366067759</v>
      </c>
      <c r="H203" s="35" t="n">
        <f aca="false">external_curves!O133</f>
        <v>2.63273630622856</v>
      </c>
      <c r="I203" s="56" t="n">
        <f aca="false">F203/N203</f>
        <v>5.73547755780791</v>
      </c>
      <c r="J203" s="139" t="n">
        <f aca="false">$H203*B203</f>
        <v>94.3909078414772</v>
      </c>
      <c r="K203" s="139" t="n">
        <f aca="false">$H203*C203</f>
        <v>117.988634801847</v>
      </c>
      <c r="L203" s="139" t="n">
        <f aca="false">$H203*F203</f>
        <v>156.42535861676</v>
      </c>
      <c r="M203" s="139" t="n">
        <f aca="false">$H203*G203</f>
        <v>130.673330199336</v>
      </c>
      <c r="N203" s="139" t="n">
        <f aca="false">H203*external_curves!K133</f>
        <v>10.3592952726331</v>
      </c>
      <c r="O203" s="139" t="n">
        <f aca="false">H203*external_curves!Q133</f>
        <v>111.118011683983</v>
      </c>
      <c r="P203" s="139" t="n">
        <f aca="false">H203*external_curves!S133</f>
        <v>102.143909407029</v>
      </c>
      <c r="Q203" s="35" t="n">
        <f aca="false">H203*external_curves!M133</f>
        <v>3.55577637388744</v>
      </c>
    </row>
    <row r="204" customFormat="false" ht="12.75" hidden="false" customHeight="false" outlineLevel="0" collapsed="false">
      <c r="A204" s="61" t="n">
        <v>40238</v>
      </c>
      <c r="B204" s="139" t="n">
        <f aca="false">B192*(1+$B$22)</f>
        <v>37.0478696272917</v>
      </c>
      <c r="C204" s="139" t="n">
        <f aca="false">C192*(1+$B$22)</f>
        <v>44.8159713233367</v>
      </c>
      <c r="D204" s="139"/>
      <c r="E204" s="139"/>
      <c r="F204" s="139" t="n">
        <f aca="false">$C$16*external_curves!K134</f>
        <v>56.8700780039751</v>
      </c>
      <c r="G204" s="139" t="n">
        <f aca="false">IF(swap_model!$B$37="Y",swap_model!B157,((F204*external_curves!AI134)+(Fwd_curves!B204*external_curves!AL134)+(Fwd_curves!C204*external_curves!AM134))/(external_curves!AH134))</f>
        <v>48.8570742082865</v>
      </c>
      <c r="H204" s="35" t="n">
        <f aca="false">external_curves!O134</f>
        <v>2.62059569111626</v>
      </c>
      <c r="I204" s="56" t="n">
        <f aca="false">F204/N204</f>
        <v>5.76204870182323</v>
      </c>
      <c r="J204" s="139" t="n">
        <f aca="false">$H204*B204</f>
        <v>97.0874875103174</v>
      </c>
      <c r="K204" s="139" t="n">
        <f aca="false">$H204*C204</f>
        <v>117.444541343126</v>
      </c>
      <c r="L204" s="139" t="n">
        <f aca="false">$H204*F204</f>
        <v>149.033481370663</v>
      </c>
      <c r="M204" s="139" t="n">
        <f aca="false">$H204*G204</f>
        <v>128.034638150783</v>
      </c>
      <c r="N204" s="139" t="n">
        <f aca="false">H204*external_curves!K134</f>
        <v>9.86976697818959</v>
      </c>
      <c r="O204" s="139" t="n">
        <f aca="false">H204*external_curves!Q134</f>
        <v>104.359779993376</v>
      </c>
      <c r="P204" s="139" t="n">
        <f aca="false">H204*external_curves!S134</f>
        <v>93.7754502018119</v>
      </c>
      <c r="Q204" s="35" t="n">
        <f aca="false">H204*external_curves!M134</f>
        <v>3.53761966079242</v>
      </c>
    </row>
    <row r="205" customFormat="false" ht="12.75" hidden="false" customHeight="false" outlineLevel="0" collapsed="false">
      <c r="A205" s="61" t="n">
        <v>40269</v>
      </c>
      <c r="B205" s="139" t="n">
        <f aca="false">B193*(1+$B$22)</f>
        <v>35.2552307743582</v>
      </c>
      <c r="C205" s="139" t="n">
        <f aca="false">C193*(1+$B$22)</f>
        <v>44.8159713233367</v>
      </c>
      <c r="D205" s="139"/>
      <c r="E205" s="139"/>
      <c r="F205" s="139" t="n">
        <f aca="false">$C$16*external_curves!K135</f>
        <v>54.324223835372</v>
      </c>
      <c r="G205" s="139" t="n">
        <f aca="false">IF(swap_model!$B$37="Y",swap_model!B158,((F205*external_curves!AI135)+(Fwd_curves!B205*external_curves!AL135)+(Fwd_curves!C205*external_curves!AM135))/(external_curves!AH135))</f>
        <v>47.0223163675248</v>
      </c>
      <c r="H205" s="35" t="n">
        <f aca="false">external_curves!O135</f>
        <v>2.60721599887476</v>
      </c>
      <c r="I205" s="56" t="n">
        <f aca="false">F205/N205</f>
        <v>5.79161834175494</v>
      </c>
      <c r="J205" s="139" t="n">
        <f aca="false">$H205*B205</f>
        <v>91.9180017189285</v>
      </c>
      <c r="K205" s="139" t="n">
        <f aca="false">$H205*C205</f>
        <v>116.844917439316</v>
      </c>
      <c r="L205" s="139" t="n">
        <f aca="false">$H205*F205</f>
        <v>141.634985510036</v>
      </c>
      <c r="M205" s="139" t="n">
        <f aca="false">$H205*G205</f>
        <v>122.597335537561</v>
      </c>
      <c r="N205" s="139" t="n">
        <f aca="false">H205*external_curves!K135</f>
        <v>9.37980036490301</v>
      </c>
      <c r="O205" s="139" t="n">
        <f aca="false">H205*external_curves!Q135</f>
        <v>95.8555246678885</v>
      </c>
      <c r="P205" s="139" t="n">
        <f aca="false">H205*external_curves!S135</f>
        <v>82.2393890712928</v>
      </c>
      <c r="Q205" s="35" t="n">
        <f aca="false">H205*external_curves!M135</f>
        <v>3.51763393276655</v>
      </c>
    </row>
    <row r="206" customFormat="false" ht="12.75" hidden="false" customHeight="false" outlineLevel="0" collapsed="false">
      <c r="A206" s="61" t="n">
        <v>40299</v>
      </c>
      <c r="B206" s="139" t="n">
        <f aca="false">B194*(1+$B$22)</f>
        <v>38.242962195914</v>
      </c>
      <c r="C206" s="139" t="n">
        <f aca="false">C194*(1+$B$22)</f>
        <v>44.8159713233367</v>
      </c>
      <c r="D206" s="139"/>
      <c r="E206" s="139"/>
      <c r="F206" s="139" t="n">
        <f aca="false">$C$16*external_curves!K136</f>
        <v>53.9348648672995</v>
      </c>
      <c r="G206" s="139" t="n">
        <f aca="false">IF(swap_model!$B$37="Y",swap_model!B159,((F206*external_curves!AI136)+(Fwd_curves!B206*external_curves!AL136)+(Fwd_curves!C206*external_curves!AM136))/(external_curves!AH136))</f>
        <v>47.5753811634556</v>
      </c>
      <c r="H206" s="35" t="n">
        <f aca="false">external_curves!O136</f>
        <v>2.594329379973</v>
      </c>
      <c r="I206" s="56" t="n">
        <f aca="false">F206/N206</f>
        <v>5.82038661573388</v>
      </c>
      <c r="J206" s="139" t="n">
        <f aca="false">$H206*B206</f>
        <v>99.2148404020562</v>
      </c>
      <c r="K206" s="139" t="n">
        <f aca="false">$H206*C206</f>
        <v>116.26739109616</v>
      </c>
      <c r="L206" s="139" t="n">
        <f aca="false">$H206*F206</f>
        <v>139.924804530108</v>
      </c>
      <c r="M206" s="139" t="n">
        <f aca="false">$H206*G206</f>
        <v>123.426209115767</v>
      </c>
      <c r="N206" s="139" t="n">
        <f aca="false">H206*external_curves!K136</f>
        <v>9.2665433463648</v>
      </c>
      <c r="O206" s="139" t="n">
        <f aca="false">H206*external_curves!Q136</f>
        <v>88.3348170976891</v>
      </c>
      <c r="P206" s="139" t="n">
        <f aca="false">H206*external_curves!S136</f>
        <v>63.6390617800556</v>
      </c>
      <c r="Q206" s="35" t="n">
        <f aca="false">H206*external_curves!M136</f>
        <v>3.49840859792828</v>
      </c>
    </row>
    <row r="207" customFormat="false" ht="12.75" hidden="false" customHeight="false" outlineLevel="0" collapsed="false">
      <c r="A207" s="61" t="n">
        <v>40330</v>
      </c>
      <c r="B207" s="139" t="n">
        <f aca="false">B195*(1+$B$22)</f>
        <v>38.242962195914</v>
      </c>
      <c r="C207" s="139" t="n">
        <f aca="false">C195*(1+$B$22)</f>
        <v>44.8159713233367</v>
      </c>
      <c r="D207" s="139"/>
      <c r="E207" s="139"/>
      <c r="F207" s="139" t="n">
        <f aca="false">$C$16*external_curves!K137</f>
        <v>55.5398841856156</v>
      </c>
      <c r="G207" s="139" t="n">
        <f aca="false">IF(swap_model!$B$37="Y",swap_model!B160,((F207*external_curves!AI137)+(Fwd_curves!B207*external_curves!AL137)+(Fwd_curves!C207*external_curves!AM137))/(external_curves!AH137))</f>
        <v>48.4520376026364</v>
      </c>
      <c r="H207" s="35" t="n">
        <f aca="false">external_curves!O137</f>
        <v>2.58107644303225</v>
      </c>
      <c r="I207" s="56" t="n">
        <f aca="false">F207/N207</f>
        <v>5.85027229269527</v>
      </c>
      <c r="J207" s="139" t="n">
        <f aca="false">$H207*B207</f>
        <v>98.7080088356463</v>
      </c>
      <c r="K207" s="139" t="n">
        <f aca="false">$H207*C207</f>
        <v>115.673447854273</v>
      </c>
      <c r="L207" s="139" t="n">
        <f aca="false">$H207*F207</f>
        <v>143.352686720232</v>
      </c>
      <c r="M207" s="139" t="n">
        <f aca="false">$H207*G207</f>
        <v>125.058412873077</v>
      </c>
      <c r="N207" s="139" t="n">
        <f aca="false">H207*external_curves!K137</f>
        <v>9.49355541193586</v>
      </c>
      <c r="O207" s="139" t="n">
        <f aca="false">H207*external_curves!Q137</f>
        <v>94.7935178315361</v>
      </c>
      <c r="P207" s="139" t="n">
        <f aca="false">H207*external_curves!S137</f>
        <v>70.8873849961416</v>
      </c>
      <c r="Q207" s="35" t="n">
        <f aca="false">H207*external_curves!M137</f>
        <v>3.47866120482701</v>
      </c>
    </row>
    <row r="208" customFormat="false" ht="12.75" hidden="false" customHeight="false" outlineLevel="0" collapsed="false">
      <c r="A208" s="61" t="n">
        <v>40360</v>
      </c>
      <c r="B208" s="139" t="n">
        <f aca="false">B196*(1+$B$22)</f>
        <v>35.8527770586693</v>
      </c>
      <c r="C208" s="139" t="n">
        <f aca="false">C196*(1+$B$22)</f>
        <v>45.6525361213723</v>
      </c>
      <c r="D208" s="139"/>
      <c r="E208" s="139"/>
      <c r="F208" s="139" t="n">
        <f aca="false">$C$16*external_curves!K138</f>
        <v>55.3062764916623</v>
      </c>
      <c r="G208" s="139" t="n">
        <f aca="false">IF(swap_model!$B$37="Y",swap_model!B161,((F208*external_curves!AI138)+(Fwd_curves!B208*external_curves!AL138)+(Fwd_curves!C208*external_curves!AM138))/(external_curves!AH138))</f>
        <v>47.7994410163768</v>
      </c>
      <c r="H208" s="35" t="n">
        <f aca="false">external_curves!O138</f>
        <v>2.56857018093404</v>
      </c>
      <c r="I208" s="56" t="n">
        <f aca="false">F208/N208</f>
        <v>5.87875702680196</v>
      </c>
      <c r="J208" s="139" t="n">
        <f aca="false">$H208*B208</f>
        <v>92.0903740565742</v>
      </c>
      <c r="K208" s="139" t="n">
        <f aca="false">$H208*C208</f>
        <v>117.261742965371</v>
      </c>
      <c r="L208" s="139" t="n">
        <f aca="false">$H208*F208</f>
        <v>142.058052614977</v>
      </c>
      <c r="M208" s="139" t="n">
        <f aca="false">$H208*G208</f>
        <v>122.776218859981</v>
      </c>
      <c r="N208" s="139" t="n">
        <f aca="false">H208*external_curves!K138</f>
        <v>9.407818053972</v>
      </c>
      <c r="O208" s="139" t="n">
        <f aca="false">H208*external_curves!Q138</f>
        <v>206.342988253819</v>
      </c>
      <c r="P208" s="139" t="n">
        <f aca="false">H208*external_curves!S138</f>
        <v>150.500544802839</v>
      </c>
      <c r="Q208" s="35" t="n">
        <f aca="false">H208*external_curves!M138</f>
        <v>3.45995369111413</v>
      </c>
    </row>
    <row r="209" customFormat="false" ht="12.75" hidden="false" customHeight="false" outlineLevel="0" collapsed="false">
      <c r="A209" s="61" t="n">
        <v>40391</v>
      </c>
      <c r="B209" s="139" t="n">
        <f aca="false">B197*(1+$B$22)</f>
        <v>35.8527770586693</v>
      </c>
      <c r="C209" s="139" t="n">
        <f aca="false">C197*(1+$B$22)</f>
        <v>48.0905249613618</v>
      </c>
      <c r="D209" s="139"/>
      <c r="E209" s="139"/>
      <c r="F209" s="139" t="n">
        <f aca="false">$C$16*external_curves!K139</f>
        <v>55.2651602750785</v>
      </c>
      <c r="G209" s="139" t="n">
        <f aca="false">IF(swap_model!$B$37="Y",swap_model!B162,((F209*external_curves!AI139)+(Fwd_curves!B209*external_curves!AL139)+(Fwd_curves!C209*external_curves!AM139))/(external_curves!AH139))</f>
        <v>48.6127295061902</v>
      </c>
      <c r="H209" s="35" t="n">
        <f aca="false">external_curves!O139</f>
        <v>2.55590606332252</v>
      </c>
      <c r="I209" s="56" t="n">
        <f aca="false">F209/N209</f>
        <v>5.90788535489874</v>
      </c>
      <c r="J209" s="139" t="n">
        <f aca="false">$H209*B209</f>
        <v>91.6363302712035</v>
      </c>
      <c r="K209" s="139" t="n">
        <f aca="false">$H209*C209</f>
        <v>122.914864337108</v>
      </c>
      <c r="L209" s="139" t="n">
        <f aca="false">$H209*F209</f>
        <v>141.252558237564</v>
      </c>
      <c r="M209" s="139" t="n">
        <f aca="false">$H209*G209</f>
        <v>124.249570099529</v>
      </c>
      <c r="N209" s="139" t="n">
        <f aca="false">H209*external_curves!K139</f>
        <v>9.35447405546781</v>
      </c>
      <c r="O209" s="139" t="n">
        <f aca="false">H209*external_curves!Q139</f>
        <v>249.942481921153</v>
      </c>
      <c r="P209" s="139" t="n">
        <f aca="false">H209*external_curves!S139</f>
        <v>183.069063712777</v>
      </c>
      <c r="Q209" s="35" t="n">
        <f aca="false">H209*external_curves!M139</f>
        <v>3.4409565571661</v>
      </c>
    </row>
    <row r="210" customFormat="false" ht="12.75" hidden="false" customHeight="false" outlineLevel="0" collapsed="false">
      <c r="A210" s="61" t="n">
        <v>40422</v>
      </c>
      <c r="B210" s="139" t="n">
        <f aca="false">B198*(1+$B$22)</f>
        <v>35.8527770586693</v>
      </c>
      <c r="C210" s="139" t="n">
        <f aca="false">C198*(1+$B$22)</f>
        <v>48.0905249613618</v>
      </c>
      <c r="D210" s="139"/>
      <c r="E210" s="139"/>
      <c r="F210" s="139" t="n">
        <f aca="false">$C$16*external_curves!K140</f>
        <v>54.992343921888</v>
      </c>
      <c r="G210" s="139" t="n">
        <f aca="false">IF(swap_model!$B$37="Y",swap_model!B163,((F210*external_curves!AI140)+(Fwd_curves!B210*external_curves!AL140)+(Fwd_curves!C210*external_curves!AM140))/(external_curves!AH140))</f>
        <v>48.4732980769609</v>
      </c>
      <c r="H210" s="35" t="n">
        <f aca="false">external_curves!O140</f>
        <v>2.54329549747903</v>
      </c>
      <c r="I210" s="56" t="n">
        <f aca="false">F210/N210</f>
        <v>5.93717875684026</v>
      </c>
      <c r="J210" s="139" t="n">
        <f aca="false">$H210*B210</f>
        <v>91.1842064654333</v>
      </c>
      <c r="K210" s="139" t="n">
        <f aca="false">$H210*C210</f>
        <v>122.308415605634</v>
      </c>
      <c r="L210" s="139" t="n">
        <f aca="false">$H210*F210</f>
        <v>139.861780692356</v>
      </c>
      <c r="M210" s="139" t="n">
        <f aca="false">$H210*G210</f>
        <v>123.281920747094</v>
      </c>
      <c r="N210" s="139" t="n">
        <f aca="false">H210*external_curves!K140</f>
        <v>9.26236958227525</v>
      </c>
      <c r="O210" s="139" t="n">
        <f aca="false">H210*external_curves!Q140</f>
        <v>222.43411537243</v>
      </c>
      <c r="P210" s="139" t="n">
        <f aca="false">H210*external_curves!S140</f>
        <v>160.873287624882</v>
      </c>
      <c r="Q210" s="35" t="n">
        <f aca="false">H210*external_curves!M140</f>
        <v>3.422063313422</v>
      </c>
    </row>
    <row r="211" customFormat="false" ht="12.75" hidden="false" customHeight="false" outlineLevel="0" collapsed="false">
      <c r="A211" s="61" t="n">
        <v>40452</v>
      </c>
      <c r="B211" s="139" t="n">
        <f aca="false">B199*(1+$B$22)</f>
        <v>35.8527770586693</v>
      </c>
      <c r="C211" s="139" t="n">
        <f aca="false">C199*(1+$B$22)</f>
        <v>47.8037027448924</v>
      </c>
      <c r="D211" s="139"/>
      <c r="E211" s="139"/>
      <c r="F211" s="139" t="n">
        <f aca="false">$C$16*external_curves!K141</f>
        <v>55.2040649698196</v>
      </c>
      <c r="G211" s="139" t="n">
        <f aca="false">IF(swap_model!$B$37="Y",swap_model!B164,((F211*external_curves!AI141)+(Fwd_curves!B211*external_curves!AL141)+(Fwd_curves!C211*external_curves!AM141))/(external_curves!AH141))</f>
        <v>48.4472056915188</v>
      </c>
      <c r="H211" s="35" t="n">
        <f aca="false">external_curves!O141</f>
        <v>2.53114254669523</v>
      </c>
      <c r="I211" s="56" t="n">
        <f aca="false">F211/N211</f>
        <v>5.96568534621458</v>
      </c>
      <c r="J211" s="139" t="n">
        <f aca="false">$H211*B211</f>
        <v>90.7484894303767</v>
      </c>
      <c r="K211" s="139" t="n">
        <f aca="false">$H211*C211</f>
        <v>120.997985907169</v>
      </c>
      <c r="L211" s="139" t="n">
        <f aca="false">$H211*F211</f>
        <v>139.729357595638</v>
      </c>
      <c r="M211" s="139" t="n">
        <f aca="false">$H211*G211</f>
        <v>122.626783594299</v>
      </c>
      <c r="N211" s="139" t="n">
        <f aca="false">H211*external_curves!K141</f>
        <v>9.25359984077074</v>
      </c>
      <c r="O211" s="139" t="n">
        <f aca="false">H211*external_curves!Q141</f>
        <v>131.900269153089</v>
      </c>
      <c r="P211" s="139" t="n">
        <f aca="false">H211*external_curves!S141</f>
        <v>115.443846221067</v>
      </c>
      <c r="Q211" s="35" t="n">
        <f aca="false">H211*external_curves!M141</f>
        <v>3.4038779136281</v>
      </c>
    </row>
    <row r="212" customFormat="false" ht="12.75" hidden="false" customHeight="false" outlineLevel="0" collapsed="false">
      <c r="A212" s="61" t="n">
        <v>40483</v>
      </c>
      <c r="B212" s="139" t="n">
        <f aca="false">B200*(1+$B$22)</f>
        <v>39.4380547645363</v>
      </c>
      <c r="C212" s="139" t="n">
        <f aca="false">C200*(1+$B$22)</f>
        <v>47.8037027448924</v>
      </c>
      <c r="D212" s="139"/>
      <c r="E212" s="139"/>
      <c r="F212" s="139" t="n">
        <f aca="false">$C$16*external_curves!K142</f>
        <v>56.7456064746372</v>
      </c>
      <c r="G212" s="139" t="n">
        <f aca="false">IF(swap_model!$B$37="Y",swap_model!B165,((F212*external_curves!AI142)+(Fwd_curves!B212*external_curves!AL142)+(Fwd_curves!C212*external_curves!AM142))/(external_curves!AH142))</f>
        <v>50.1303639509028</v>
      </c>
      <c r="H212" s="35" t="n">
        <f aca="false">external_curves!O142</f>
        <v>2.51863684321933</v>
      </c>
      <c r="I212" s="56" t="n">
        <f aca="false">F212/N212</f>
        <v>5.99530656460148</v>
      </c>
      <c r="J212" s="139" t="n">
        <f aca="false">$H212*B212</f>
        <v>99.3301377548627</v>
      </c>
      <c r="K212" s="139" t="n">
        <f aca="false">$H212*C212</f>
        <v>120.400166975591</v>
      </c>
      <c r="L212" s="139" t="n">
        <f aca="false">$H212*F212</f>
        <v>142.921575157847</v>
      </c>
      <c r="M212" s="139" t="n">
        <f aca="false">$H212*G212</f>
        <v>126.260181610738</v>
      </c>
      <c r="N212" s="139" t="n">
        <f aca="false">H212*external_curves!K142</f>
        <v>9.46500497734084</v>
      </c>
      <c r="O212" s="139" t="n">
        <f aca="false">H212*external_curves!Q142</f>
        <v>126.944529380747</v>
      </c>
      <c r="P212" s="139" t="n">
        <f aca="false">H212*external_curves!S142</f>
        <v>110.341313333562</v>
      </c>
      <c r="Q212" s="35" t="n">
        <f aca="false">H212*external_curves!M142</f>
        <v>3.38518745015325</v>
      </c>
    </row>
    <row r="213" customFormat="false" ht="12.75" hidden="false" customHeight="false" outlineLevel="0" collapsed="false">
      <c r="A213" s="61" t="n">
        <v>40513</v>
      </c>
      <c r="B213" s="139" t="n">
        <f aca="false">B201*(1+$B$22)</f>
        <v>39.4380547645363</v>
      </c>
      <c r="C213" s="139" t="n">
        <f aca="false">C201*(1+$B$22)</f>
        <v>47.8037027448924</v>
      </c>
      <c r="D213" s="139"/>
      <c r="E213" s="139"/>
      <c r="F213" s="139" t="n">
        <f aca="false">$C$16*external_curves!K143</f>
        <v>58.4599043367284</v>
      </c>
      <c r="G213" s="139" t="n">
        <f aca="false">IF(swap_model!$B$37="Y",swap_model!B166,((F213*external_curves!AI143)+(Fwd_curves!B213*external_curves!AL143)+(Fwd_curves!C213*external_curves!AM143))/(external_curves!AH143))</f>
        <v>50.8663760187951</v>
      </c>
      <c r="H213" s="35" t="n">
        <f aca="false">external_curves!O143</f>
        <v>2.50658504319516</v>
      </c>
      <c r="I213" s="56" t="n">
        <f aca="false">F213/N213</f>
        <v>6.02413233135387</v>
      </c>
      <c r="J213" s="139" t="n">
        <f aca="false">$H213*B213</f>
        <v>98.8548382054982</v>
      </c>
      <c r="K213" s="139" t="n">
        <f aca="false">$H213*C213</f>
        <v>119.824046309695</v>
      </c>
      <c r="L213" s="139" t="n">
        <f aca="false">$H213*F213</f>
        <v>146.534721837063</v>
      </c>
      <c r="M213" s="139" t="n">
        <f aca="false">$H213*G213</f>
        <v>127.500897330253</v>
      </c>
      <c r="N213" s="139" t="n">
        <f aca="false">H213*external_curves!K143</f>
        <v>9.70428621437505</v>
      </c>
      <c r="O213" s="139" t="n">
        <f aca="false">H213*external_curves!Q143</f>
        <v>126.269896422441</v>
      </c>
      <c r="P213" s="139" t="n">
        <f aca="false">H213*external_curves!S143</f>
        <v>109.160732779446</v>
      </c>
      <c r="Q213" s="35" t="n">
        <f aca="false">H213*external_curves!M143</f>
        <v>3.36719723793175</v>
      </c>
    </row>
    <row r="214" customFormat="false" ht="12.75" hidden="false" customHeight="false" outlineLevel="0" collapsed="false">
      <c r="A214" s="61" t="n">
        <v>40544</v>
      </c>
      <c r="B214" s="139" t="n">
        <f aca="false">B202*(1+$B$22)</f>
        <v>40.226815859827</v>
      </c>
      <c r="C214" s="139" t="n">
        <f aca="false">C202*(1+$B$22)</f>
        <v>46.9312851697982</v>
      </c>
      <c r="D214" s="139"/>
      <c r="E214" s="139"/>
      <c r="F214" s="139" t="n">
        <f aca="false">$C$16*external_curves!K144</f>
        <v>62.3283588193945</v>
      </c>
      <c r="G214" s="139" t="n">
        <f aca="false">IF(swap_model!$B$37="Y",swap_model!B167,((F214*external_curves!AI144)+(Fwd_curves!B214*external_curves!AL144)+(Fwd_curves!C214*external_curves!AM144))/(external_curves!AH144))</f>
        <v>52.3708898770417</v>
      </c>
      <c r="H214" s="35" t="n">
        <f aca="false">external_curves!O144</f>
        <v>2.49418352284436</v>
      </c>
      <c r="I214" s="56" t="n">
        <f aca="false">F214/N214</f>
        <v>6.05408537972379</v>
      </c>
      <c r="J214" s="139" t="n">
        <f aca="false">$H214*B214</f>
        <v>100.333061294075</v>
      </c>
      <c r="K214" s="139" t="n">
        <f aca="false">$H214*C214</f>
        <v>117.05523817642</v>
      </c>
      <c r="L214" s="139" t="n">
        <f aca="false">$H214*F214</f>
        <v>155.458365573265</v>
      </c>
      <c r="M214" s="139" t="n">
        <f aca="false">$H214*G214</f>
        <v>130.622610608014</v>
      </c>
      <c r="N214" s="139" t="n">
        <f aca="false">H214*external_curves!K144</f>
        <v>10.2952559982294</v>
      </c>
      <c r="O214" s="139" t="n">
        <f aca="false">H214*external_curves!Q144</f>
        <v>111.679391378559</v>
      </c>
      <c r="P214" s="139" t="n">
        <f aca="false">H214*external_curves!S144</f>
        <v>100.863606630502</v>
      </c>
      <c r="Q214" s="35" t="n">
        <f aca="false">H214*external_curves!M144</f>
        <v>3.34870738766293</v>
      </c>
    </row>
    <row r="215" customFormat="false" ht="12.75" hidden="false" customHeight="false" outlineLevel="0" collapsed="false">
      <c r="A215" s="61" t="n">
        <v>40575</v>
      </c>
      <c r="B215" s="139" t="n">
        <f aca="false">B203*(1+$B$22)</f>
        <v>36.5698325998427</v>
      </c>
      <c r="C215" s="139" t="n">
        <f aca="false">C203*(1+$B$22)</f>
        <v>45.7122907498034</v>
      </c>
      <c r="D215" s="139"/>
      <c r="E215" s="139"/>
      <c r="F215" s="139" t="n">
        <f aca="false">$C$16*external_curves!K145</f>
        <v>60.4539482668793</v>
      </c>
      <c r="G215" s="139" t="n">
        <f aca="false">IF(swap_model!$B$37="Y",swap_model!B168,((F215*external_curves!AI145)+(Fwd_curves!B215*external_curves!AL145)+(Fwd_curves!C215*external_curves!AM145))/(external_curves!AH145))</f>
        <v>50.555351912706</v>
      </c>
      <c r="H215" s="35" t="n">
        <f aca="false">external_curves!O145</f>
        <v>2.48183468846347</v>
      </c>
      <c r="I215" s="56" t="n">
        <f aca="false">F215/N215</f>
        <v>6.08420861799967</v>
      </c>
      <c r="J215" s="139" t="n">
        <f aca="false">$H215*B215</f>
        <v>90.7602790975921</v>
      </c>
      <c r="K215" s="139" t="n">
        <f aca="false">$H215*C215</f>
        <v>113.45034887199</v>
      </c>
      <c r="L215" s="139" t="n">
        <f aca="false">$H215*F215</f>
        <v>150.036705863317</v>
      </c>
      <c r="M215" s="139" t="n">
        <f aca="false">$H215*G215</f>
        <v>125.470026064432</v>
      </c>
      <c r="N215" s="139" t="n">
        <f aca="false">H215*external_curves!K145</f>
        <v>9.9362056863124</v>
      </c>
      <c r="O215" s="139" t="n">
        <f aca="false">H215*external_curves!Q145</f>
        <v>106.070649489248</v>
      </c>
      <c r="P215" s="139" t="n">
        <f aca="false">H215*external_curves!S145</f>
        <v>98.7241251002383</v>
      </c>
      <c r="Q215" s="35" t="n">
        <f aca="false">H215*external_curves!M145</f>
        <v>3.33031866528252</v>
      </c>
    </row>
    <row r="216" customFormat="false" ht="12.75" hidden="false" customHeight="false" outlineLevel="0" collapsed="false">
      <c r="A216" s="61" t="n">
        <v>40603</v>
      </c>
      <c r="B216" s="139" t="n">
        <f aca="false">B204*(1+$B$22)</f>
        <v>37.7888270198375</v>
      </c>
      <c r="C216" s="139" t="n">
        <f aca="false">C204*(1+$B$22)</f>
        <v>45.7122907498034</v>
      </c>
      <c r="D216" s="139"/>
      <c r="E216" s="139"/>
      <c r="F216" s="139" t="n">
        <f aca="false">$C$16*external_curves!K146</f>
        <v>57.9900467985345</v>
      </c>
      <c r="G216" s="139" t="n">
        <f aca="false">IF(swap_model!$B$37="Y",swap_model!B169,((F216*external_curves!AI146)+(Fwd_curves!B216*external_curves!AL146)+(Fwd_curves!C216*external_curves!AM146))/(external_curves!AH146))</f>
        <v>49.825593034238</v>
      </c>
      <c r="H216" s="35" t="n">
        <f aca="false">external_curves!O146</f>
        <v>2.47072604212681</v>
      </c>
      <c r="I216" s="56" t="n">
        <f aca="false">F216/N216</f>
        <v>6.11156386525227</v>
      </c>
      <c r="J216" s="139" t="n">
        <f aca="false">$H216*B216</f>
        <v>93.3658390193379</v>
      </c>
      <c r="K216" s="139" t="n">
        <f aca="false">$H216*C216</f>
        <v>112.942547200812</v>
      </c>
      <c r="L216" s="139" t="n">
        <f aca="false">$H216*F216</f>
        <v>143.277518809292</v>
      </c>
      <c r="M216" s="139" t="n">
        <f aca="false">$H216*G216</f>
        <v>123.105390274104</v>
      </c>
      <c r="N216" s="139" t="n">
        <f aca="false">H216*external_curves!K146</f>
        <v>9.48857740458887</v>
      </c>
      <c r="O216" s="139" t="n">
        <f aca="false">H216*external_curves!Q146</f>
        <v>99.7452583993281</v>
      </c>
      <c r="P216" s="139" t="n">
        <f aca="false">H216*external_curves!S146</f>
        <v>90.7696816964028</v>
      </c>
      <c r="Q216" s="35" t="n">
        <f aca="false">H216*external_curves!M146</f>
        <v>3.31379596011057</v>
      </c>
    </row>
    <row r="217" customFormat="false" ht="12.75" hidden="false" customHeight="false" outlineLevel="0" collapsed="false">
      <c r="A217" s="61" t="n">
        <v>40634</v>
      </c>
      <c r="B217" s="139" t="n">
        <f aca="false">B205*(1+$B$22)</f>
        <v>35.9603353898453</v>
      </c>
      <c r="C217" s="139" t="n">
        <f aca="false">C205*(1+$B$22)</f>
        <v>45.7122907498034</v>
      </c>
      <c r="D217" s="139"/>
      <c r="E217" s="139"/>
      <c r="F217" s="139" t="n">
        <f aca="false">$C$16*external_curves!K147</f>
        <v>55.5255836686683</v>
      </c>
      <c r="G217" s="139" t="n">
        <f aca="false">IF(swap_model!$B$37="Y",swap_model!B170,((F217*external_curves!AI147)+(Fwd_curves!B217*external_curves!AL147)+(Fwd_curves!C217*external_curves!AM147))/(external_curves!AH147))</f>
        <v>48.0163711946168</v>
      </c>
      <c r="H217" s="35" t="n">
        <f aca="false">external_curves!O147</f>
        <v>2.45847699918691</v>
      </c>
      <c r="I217" s="56" t="n">
        <f aca="false">F217/N217</f>
        <v>6.14201393992867</v>
      </c>
      <c r="J217" s="139" t="n">
        <f aca="false">$H217*B217</f>
        <v>88.4076574389817</v>
      </c>
      <c r="K217" s="139" t="n">
        <f aca="false">$H217*C217</f>
        <v>112.382615388536</v>
      </c>
      <c r="L217" s="139" t="n">
        <f aca="false">$H217*F217</f>
        <v>136.508370315849</v>
      </c>
      <c r="M217" s="139" t="n">
        <f aca="false">$H217*G217</f>
        <v>118.047144166386</v>
      </c>
      <c r="N217" s="139" t="n">
        <f aca="false">H217*external_curves!K147</f>
        <v>9.04028942489068</v>
      </c>
      <c r="O217" s="139" t="n">
        <f aca="false">H217*external_curves!Q147</f>
        <v>91.7824095337452</v>
      </c>
      <c r="P217" s="139" t="n">
        <f aca="false">H217*external_curves!S147</f>
        <v>79.9297906508685</v>
      </c>
      <c r="Q217" s="35" t="n">
        <f aca="false">H217*external_curves!M147</f>
        <v>3.29559818792622</v>
      </c>
    </row>
    <row r="218" customFormat="false" ht="12.75" hidden="false" customHeight="false" outlineLevel="0" collapsed="false">
      <c r="A218" s="61" t="n">
        <v>40664</v>
      </c>
      <c r="B218" s="139" t="n">
        <f aca="false">B206*(1+$B$22)</f>
        <v>39.0078214398322</v>
      </c>
      <c r="C218" s="139" t="n">
        <f aca="false">C206*(1+$B$22)</f>
        <v>45.7122907498034</v>
      </c>
      <c r="D218" s="139"/>
      <c r="E218" s="139"/>
      <c r="F218" s="139" t="n">
        <f aca="false">$C$16*external_curves!K148</f>
        <v>55.160229565087</v>
      </c>
      <c r="G218" s="139" t="n">
        <f aca="false">IF(swap_model!$B$37="Y",swap_model!B171,((F218*external_curves!AI148)+(Fwd_curves!B218*external_curves!AL148)+(Fwd_curves!C218*external_curves!AM148))/(external_curves!AH148))</f>
        <v>48.5962798148906</v>
      </c>
      <c r="H218" s="35" t="n">
        <f aca="false">external_curves!O148</f>
        <v>2.43996671871258</v>
      </c>
      <c r="I218" s="56" t="n">
        <f aca="false">F218/N218</f>
        <v>6.18860900199792</v>
      </c>
      <c r="J218" s="139" t="n">
        <f aca="false">$H218*B218</f>
        <v>95.1777860826737</v>
      </c>
      <c r="K218" s="139" t="n">
        <f aca="false">$H218*C218</f>
        <v>111.536468065633</v>
      </c>
      <c r="L218" s="139" t="n">
        <f aca="false">$H218*F218</f>
        <v>134.589124335358</v>
      </c>
      <c r="M218" s="139" t="n">
        <f aca="false">$H218*G218</f>
        <v>118.573305401577</v>
      </c>
      <c r="N218" s="139" t="n">
        <f aca="false">H218*external_curves!K148</f>
        <v>8.91318704207669</v>
      </c>
      <c r="O218" s="139" t="n">
        <f aca="false">H218*external_curves!Q148</f>
        <v>81.9378571524571</v>
      </c>
      <c r="P218" s="139" t="n">
        <f aca="false">H218*external_curves!S148</f>
        <v>62.2673131242591</v>
      </c>
      <c r="Q218" s="35" t="n">
        <f aca="false">H218*external_curves!M148</f>
        <v>3.26445646025725</v>
      </c>
    </row>
    <row r="219" customFormat="false" ht="12.75" hidden="false" customHeight="false" outlineLevel="0" collapsed="false">
      <c r="A219" s="61" t="n">
        <v>40695</v>
      </c>
      <c r="B219" s="139" t="n">
        <f aca="false">B207*(1+$B$22)</f>
        <v>39.0078214398322</v>
      </c>
      <c r="C219" s="139" t="n">
        <f aca="false">C207*(1+$B$22)</f>
        <v>45.7122907498034</v>
      </c>
      <c r="D219" s="139"/>
      <c r="E219" s="139"/>
      <c r="F219" s="139" t="n">
        <f aca="false">$C$16*external_curves!K149</f>
        <v>56.7717285836217</v>
      </c>
      <c r="G219" s="139" t="n">
        <f aca="false">IF(swap_model!$B$37="Y",swap_model!B172,((F219*external_curves!AI149)+(Fwd_curves!B219*external_curves!AL149)+(Fwd_curves!C219*external_curves!AM149))/(external_curves!AH149))</f>
        <v>49.4802567483439</v>
      </c>
      <c r="H219" s="35" t="n">
        <f aca="false">external_curves!O149</f>
        <v>2.42798055202943</v>
      </c>
      <c r="I219" s="56" t="n">
        <f aca="false">F219/N219</f>
        <v>6.21916019359324</v>
      </c>
      <c r="J219" s="139" t="n">
        <f aca="false">$H219*B219</f>
        <v>94.7102318329495</v>
      </c>
      <c r="K219" s="139" t="n">
        <f aca="false">$H219*C219</f>
        <v>110.988552929238</v>
      </c>
      <c r="L219" s="139" t="n">
        <f aca="false">$H219*F219</f>
        <v>137.840652906127</v>
      </c>
      <c r="M219" s="139" t="n">
        <f aca="false">$H219*G219</f>
        <v>120.137101094402</v>
      </c>
      <c r="N219" s="139" t="n">
        <f aca="false">H219*external_curves!K149</f>
        <v>9.12852006000841</v>
      </c>
      <c r="O219" s="139" t="n">
        <f aca="false">H219*external_curves!Q149</f>
        <v>87.9876158738441</v>
      </c>
      <c r="P219" s="139" t="n">
        <f aca="false">H219*external_curves!S149</f>
        <v>68.5679301415567</v>
      </c>
      <c r="Q219" s="35" t="n">
        <f aca="false">H219*external_curves!M149</f>
        <v>3.24677549349978</v>
      </c>
    </row>
    <row r="220" customFormat="false" ht="12.75" hidden="false" customHeight="false" outlineLevel="0" collapsed="false">
      <c r="A220" s="61" t="n">
        <v>40725</v>
      </c>
      <c r="B220" s="139" t="n">
        <f aca="false">B208*(1+$B$22)</f>
        <v>36.5698325998427</v>
      </c>
      <c r="C220" s="139" t="n">
        <f aca="false">C208*(1+$B$22)</f>
        <v>46.5655868437997</v>
      </c>
      <c r="D220" s="139"/>
      <c r="E220" s="139"/>
      <c r="F220" s="139" t="n">
        <f aca="false">$C$16*external_curves!K150</f>
        <v>56.5405431271347</v>
      </c>
      <c r="G220" s="139" t="n">
        <f aca="false">IF(swap_model!$B$37="Y",swap_model!B173,((F220*external_curves!AI150)+(Fwd_curves!B220*external_curves!AL150)+(Fwd_curves!C220*external_curves!AM150))/(external_curves!AH150))</f>
        <v>48.8133000134446</v>
      </c>
      <c r="H220" s="35" t="n">
        <f aca="false">external_curves!O150</f>
        <v>2.41648014116417</v>
      </c>
      <c r="I220" s="56" t="n">
        <f aca="false">F220/N220</f>
        <v>6.248758159761</v>
      </c>
      <c r="J220" s="139" t="n">
        <f aca="false">$H220*B220</f>
        <v>88.3702742432178</v>
      </c>
      <c r="K220" s="139" t="n">
        <f aca="false">$H220*C220</f>
        <v>112.524815869697</v>
      </c>
      <c r="L220" s="139" t="n">
        <f aca="false">$H220*F220</f>
        <v>136.629099637357</v>
      </c>
      <c r="M220" s="139" t="n">
        <f aca="false">$H220*G220</f>
        <v>117.956370107177</v>
      </c>
      <c r="N220" s="139" t="n">
        <f aca="false">H220*external_curves!K150</f>
        <v>9.04828474419584</v>
      </c>
      <c r="O220" s="139" t="n">
        <f aca="false">H220*external_curves!Q150</f>
        <v>188.486359485261</v>
      </c>
      <c r="P220" s="139" t="n">
        <f aca="false">H220*external_curves!S150</f>
        <v>137.318592429759</v>
      </c>
      <c r="Q220" s="35" t="n">
        <f aca="false">H220*external_curves!M150</f>
        <v>3.22971829138555</v>
      </c>
    </row>
    <row r="221" customFormat="false" ht="12.75" hidden="false" customHeight="false" outlineLevel="0" collapsed="false">
      <c r="A221" s="61" t="n">
        <v>40756</v>
      </c>
      <c r="B221" s="139" t="n">
        <f aca="false">B209*(1+$B$22)</f>
        <v>36.5698325998427</v>
      </c>
      <c r="C221" s="139" t="n">
        <f aca="false">C209*(1+$B$22)</f>
        <v>49.052335460589</v>
      </c>
      <c r="D221" s="139"/>
      <c r="E221" s="139"/>
      <c r="F221" s="139" t="n">
        <f aca="false">$C$16*external_curves!K151</f>
        <v>56.5002130345072</v>
      </c>
      <c r="G221" s="139" t="n">
        <f aca="false">IF(swap_model!$B$37="Y",swap_model!B174,((F221*external_curves!AI151)+(Fwd_curves!B221*external_curves!AL151)+(Fwd_curves!C221*external_curves!AM151))/(external_curves!AH151))</f>
        <v>49.6491612950307</v>
      </c>
      <c r="H221" s="35" t="n">
        <f aca="false">external_curves!O151</f>
        <v>2.4046166484223</v>
      </c>
      <c r="I221" s="56" t="n">
        <f aca="false">F221/N221</f>
        <v>6.27958723063291</v>
      </c>
      <c r="J221" s="139" t="n">
        <f aca="false">$H221*B221</f>
        <v>87.9364282995985</v>
      </c>
      <c r="K221" s="139" t="n">
        <f aca="false">$H221*C221</f>
        <v>117.952062492528</v>
      </c>
      <c r="L221" s="139" t="n">
        <f aca="false">$H221*F221</f>
        <v>135.861352902183</v>
      </c>
      <c r="M221" s="139" t="n">
        <f aca="false">$H221*G221</f>
        <v>119.387199830235</v>
      </c>
      <c r="N221" s="139" t="n">
        <f aca="false">H221*external_curves!K151</f>
        <v>8.99744058954854</v>
      </c>
      <c r="O221" s="139" t="n">
        <f aca="false">H221*external_curves!Q151</f>
        <v>229.222950118719</v>
      </c>
      <c r="P221" s="139" t="n">
        <f aca="false">H221*external_curves!S151</f>
        <v>172.404915114425</v>
      </c>
      <c r="Q221" s="35" t="n">
        <f aca="false">H221*external_curves!M151</f>
        <v>3.2122050184798</v>
      </c>
    </row>
    <row r="222" customFormat="false" ht="12.75" hidden="false" customHeight="false" outlineLevel="0" collapsed="false">
      <c r="A222" s="61" t="n">
        <v>40787</v>
      </c>
      <c r="B222" s="139" t="n">
        <f aca="false">B210*(1+$B$22)</f>
        <v>36.5698325998427</v>
      </c>
      <c r="C222" s="139" t="n">
        <f aca="false">C210*(1+$B$22)</f>
        <v>49.052335460589</v>
      </c>
      <c r="D222" s="139"/>
      <c r="E222" s="139"/>
      <c r="F222" s="139" t="n">
        <f aca="false">$C$16*external_curves!K152</f>
        <v>56.2109959862076</v>
      </c>
      <c r="G222" s="139" t="n">
        <f aca="false">IF(swap_model!$B$37="Y",swap_model!B175,((F222*external_curves!AI152)+(Fwd_curves!B222*external_curves!AL152)+(Fwd_curves!C222*external_curves!AM152))/(external_curves!AH152))</f>
        <v>49.5008465738201</v>
      </c>
      <c r="H222" s="35" t="n">
        <f aca="false">external_curves!O152</f>
        <v>2.39277580926849</v>
      </c>
      <c r="I222" s="56" t="n">
        <f aca="false">F222/N222</f>
        <v>6.31066226159161</v>
      </c>
      <c r="J222" s="139" t="n">
        <f aca="false">$H222*B222</f>
        <v>87.5034107939019</v>
      </c>
      <c r="K222" s="139" t="n">
        <f aca="false">$H222*C222</f>
        <v>117.37124167822</v>
      </c>
      <c r="L222" s="139" t="n">
        <f aca="false">$H222*F222</f>
        <v>134.500311410686</v>
      </c>
      <c r="M222" s="139" t="n">
        <f aca="false">$H222*G222</f>
        <v>118.444428220148</v>
      </c>
      <c r="N222" s="139" t="n">
        <f aca="false">H222*external_curves!K152</f>
        <v>8.90730539143614</v>
      </c>
      <c r="O222" s="139" t="n">
        <f aca="false">H222*external_curves!Q152</f>
        <v>205.585625475352</v>
      </c>
      <c r="P222" s="139" t="n">
        <f aca="false">H222*external_curves!S152</f>
        <v>151.442220293183</v>
      </c>
      <c r="Q222" s="35" t="n">
        <f aca="false">H222*external_curves!M152</f>
        <v>3.19480381469079</v>
      </c>
    </row>
    <row r="223" customFormat="false" ht="12.75" hidden="false" customHeight="false" outlineLevel="0" collapsed="false">
      <c r="A223" s="61" t="n">
        <v>40817</v>
      </c>
      <c r="B223" s="139" t="n">
        <f aca="false">B211*(1+$B$22)</f>
        <v>36.5698325998427</v>
      </c>
      <c r="C223" s="139" t="n">
        <f aca="false">C211*(1+$B$22)</f>
        <v>48.7597767997903</v>
      </c>
      <c r="D223" s="139"/>
      <c r="E223" s="139"/>
      <c r="F223" s="139" t="n">
        <f aca="false">$C$16*external_curves!K153</f>
        <v>56.4022143254552</v>
      </c>
      <c r="G223" s="139" t="n">
        <f aca="false">IF(swap_model!$B$37="Y",swap_model!B176,((F223*external_curves!AI153)+(Fwd_curves!B223*external_curves!AL153)+(Fwd_curves!C223*external_curves!AM153))/(external_curves!AH153))</f>
        <v>49.4586321533282</v>
      </c>
      <c r="H223" s="35" t="n">
        <f aca="false">external_curves!O153</f>
        <v>2.38141395617439</v>
      </c>
      <c r="I223" s="56" t="n">
        <f aca="false">F223/N223</f>
        <v>6.34077076807652</v>
      </c>
      <c r="J223" s="139" t="n">
        <f aca="false">$H223*B223</f>
        <v>87.0879097282265</v>
      </c>
      <c r="K223" s="139" t="n">
        <f aca="false">$H223*C223</f>
        <v>116.117212970969</v>
      </c>
      <c r="L223" s="139" t="n">
        <f aca="false">$H223*F223</f>
        <v>134.317020353778</v>
      </c>
      <c r="M223" s="139" t="n">
        <f aca="false">$H223*G223</f>
        <v>117.781476863231</v>
      </c>
      <c r="N223" s="139" t="n">
        <f aca="false">H223*external_curves!K153</f>
        <v>8.89516691084622</v>
      </c>
      <c r="O223" s="139" t="n">
        <f aca="false">H223*external_curves!Q153</f>
        <v>118.698956251316</v>
      </c>
      <c r="P223" s="139" t="n">
        <f aca="false">H223*external_curves!S153</f>
        <v>107.67627568653</v>
      </c>
      <c r="Q223" s="35" t="n">
        <f aca="false">H223*external_curves!M153</f>
        <v>3.17801757031637</v>
      </c>
    </row>
    <row r="224" customFormat="false" ht="12.75" hidden="false" customHeight="false" outlineLevel="0" collapsed="false">
      <c r="A224" s="61" t="n">
        <v>40848</v>
      </c>
      <c r="B224" s="139" t="n">
        <f aca="false">B212*(1+$B$22)</f>
        <v>40.226815859827</v>
      </c>
      <c r="C224" s="139" t="n">
        <f aca="false">C212*(1+$B$22)</f>
        <v>48.7597767997903</v>
      </c>
      <c r="D224" s="139"/>
      <c r="E224" s="139"/>
      <c r="F224" s="139" t="n">
        <f aca="false">$C$16*external_curves!K154</f>
        <v>57.835563206491</v>
      </c>
      <c r="G224" s="139" t="n">
        <f aca="false">IF(swap_model!$B$37="Y",swap_model!B177,((F224*external_curves!AI154)+(Fwd_curves!B224*external_curves!AL154)+(Fwd_curves!C224*external_curves!AM154))/(external_curves!AH154))</f>
        <v>51.1109930355196</v>
      </c>
      <c r="H224" s="35" t="n">
        <f aca="false">external_curves!O154</f>
        <v>2.36966877283019</v>
      </c>
      <c r="I224" s="56" t="n">
        <f aca="false">F224/N224</f>
        <v>6.37219858451588</v>
      </c>
      <c r="J224" s="139" t="n">
        <f aca="false">$H224*B224</f>
        <v>95.3242293734222</v>
      </c>
      <c r="K224" s="139" t="n">
        <f aca="false">$H224*C224</f>
        <v>115.544520452633</v>
      </c>
      <c r="L224" s="139" t="n">
        <f aca="false">$H224*F224</f>
        <v>137.051128089468</v>
      </c>
      <c r="M224" s="139" t="n">
        <f aca="false">$H224*G224</f>
        <v>121.116124144612</v>
      </c>
      <c r="N224" s="139" t="n">
        <f aca="false">H224*external_curves!K154</f>
        <v>9.07623364830917</v>
      </c>
      <c r="O224" s="139" t="n">
        <f aca="false">H224*external_curves!Q154</f>
        <v>108.573460828912</v>
      </c>
      <c r="P224" s="139" t="n">
        <f aca="false">H224*external_curves!S154</f>
        <v>100.456001062232</v>
      </c>
      <c r="Q224" s="35" t="n">
        <f aca="false">H224*external_curves!M154</f>
        <v>3.16079944188971</v>
      </c>
    </row>
    <row r="225" customFormat="false" ht="12.75" hidden="false" customHeight="false" outlineLevel="0" collapsed="false">
      <c r="A225" s="61" t="n">
        <v>40878</v>
      </c>
      <c r="B225" s="139" t="n">
        <f aca="false">B213*(1+$B$22)</f>
        <v>40.226815859827</v>
      </c>
      <c r="C225" s="139" t="n">
        <f aca="false">C213*(1+$B$22)</f>
        <v>48.7597767997903</v>
      </c>
      <c r="D225" s="139"/>
      <c r="E225" s="139"/>
      <c r="F225" s="139" t="n">
        <f aca="false">$C$16*external_curves!K155</f>
        <v>59.4786622168061</v>
      </c>
      <c r="G225" s="139" t="n">
        <f aca="false">IF(swap_model!$B$37="Y",swap_model!B178,((F225*external_curves!AI155)+(Fwd_curves!B225*external_curves!AL155)+(Fwd_curves!C225*external_curves!AM155))/(external_curves!AH155))</f>
        <v>51.8125275274194</v>
      </c>
      <c r="H225" s="35" t="n">
        <f aca="false">external_curves!O155</f>
        <v>2.35839812994034</v>
      </c>
      <c r="I225" s="56" t="n">
        <f aca="false">F225/N225</f>
        <v>6.40265093849188</v>
      </c>
      <c r="J225" s="139" t="n">
        <f aca="false">$H225*B225</f>
        <v>94.8708472972703</v>
      </c>
      <c r="K225" s="139" t="n">
        <f aca="false">$H225*C225</f>
        <v>114.994966420934</v>
      </c>
      <c r="L225" s="139" t="n">
        <f aca="false">$H225*F225</f>
        <v>140.274365743469</v>
      </c>
      <c r="M225" s="139" t="n">
        <f aca="false">$H225*G225</f>
        <v>122.194568028148</v>
      </c>
      <c r="N225" s="139" t="n">
        <f aca="false">H225*external_curves!K155</f>
        <v>9.28969309559395</v>
      </c>
      <c r="O225" s="139" t="n">
        <f aca="false">H225*external_curves!Q155</f>
        <v>106.430848464346</v>
      </c>
      <c r="P225" s="139" t="n">
        <f aca="false">H225*external_curves!S155</f>
        <v>98.7796468265171</v>
      </c>
      <c r="Q225" s="35" t="n">
        <f aca="false">H225*external_curves!M155</f>
        <v>3.14419050116235</v>
      </c>
    </row>
    <row r="226" customFormat="false" ht="12.75" hidden="false" customHeight="false" outlineLevel="0" collapsed="false">
      <c r="A226" s="61" t="n">
        <v>40909</v>
      </c>
      <c r="B226" s="139" t="n">
        <f aca="false">B214*(1+$B$22)</f>
        <v>41.0313521770235</v>
      </c>
      <c r="C226" s="139" t="n">
        <f aca="false">C214*(1+$B$22)</f>
        <v>47.8699108731941</v>
      </c>
      <c r="D226" s="139"/>
      <c r="E226" s="139"/>
      <c r="F226" s="139" t="n">
        <f aca="false">$C$16*external_curves!K156</f>
        <v>63.3727058257722</v>
      </c>
      <c r="G226" s="139" t="n">
        <f aca="false">IF(swap_model!$B$37="Y",swap_model!B179,((F226*external_curves!AI156)+(Fwd_curves!B226*external_curves!AL156)+(Fwd_curves!C226*external_curves!AM156))/(external_curves!AH156))</f>
        <v>53.3269824365134</v>
      </c>
      <c r="H226" s="35" t="n">
        <f aca="false">external_curves!O156</f>
        <v>2.35464361120192</v>
      </c>
      <c r="I226" s="56" t="n">
        <f aca="false">F226/N226</f>
        <v>6.41286007282106</v>
      </c>
      <c r="J226" s="139" t="n">
        <f aca="false">$H226*B226</f>
        <v>96.6142112626045</v>
      </c>
      <c r="K226" s="139" t="n">
        <f aca="false">$H226*C226</f>
        <v>112.716579806372</v>
      </c>
      <c r="L226" s="139" t="n">
        <f aca="false">$H226*F226</f>
        <v>149.220136897233</v>
      </c>
      <c r="M226" s="139" t="n">
        <f aca="false">$H226*G226</f>
        <v>125.566038498813</v>
      </c>
      <c r="N226" s="139" t="n">
        <f aca="false">H226*external_curves!K156</f>
        <v>9.88212827133994</v>
      </c>
      <c r="O226" s="139" t="n">
        <f aca="false">H226*external_curves!Q156</f>
        <v>111.931546854641</v>
      </c>
      <c r="P226" s="139" t="n">
        <f aca="false">H226*external_curves!S156</f>
        <v>99.2412378577593</v>
      </c>
      <c r="Q226" s="35" t="n">
        <f aca="false">H226*external_curves!M156</f>
        <v>3.12221888018525</v>
      </c>
    </row>
    <row r="227" customFormat="false" ht="12.75" hidden="false" customHeight="false" outlineLevel="0" collapsed="false">
      <c r="A227" s="61" t="n">
        <v>40940</v>
      </c>
      <c r="B227" s="139" t="n">
        <f aca="false">B215*(1+$B$22)</f>
        <v>37.3012292518396</v>
      </c>
      <c r="C227" s="139" t="n">
        <f aca="false">C215*(1+$B$22)</f>
        <v>46.6265365647995</v>
      </c>
      <c r="D227" s="139"/>
      <c r="E227" s="139"/>
      <c r="F227" s="139" t="n">
        <f aca="false">$C$16*external_curves!K157</f>
        <v>61.5910846839165</v>
      </c>
      <c r="G227" s="139" t="n">
        <f aca="false">IF(swap_model!$B$37="Y",swap_model!B180,((F227*external_curves!AI157)+(Fwd_curves!B227*external_curves!AL157)+(Fwd_curves!C227*external_curves!AM157))/(external_curves!AH157))</f>
        <v>51.5322005946267</v>
      </c>
      <c r="H227" s="35" t="n">
        <f aca="false">external_curves!O157</f>
        <v>2.34282714060852</v>
      </c>
      <c r="I227" s="56" t="n">
        <f aca="false">F227/N227</f>
        <v>6.44520448746295</v>
      </c>
      <c r="J227" s="139" t="n">
        <f aca="false">$H227*B227</f>
        <v>87.3903322692701</v>
      </c>
      <c r="K227" s="139" t="n">
        <f aca="false">$H227*C227</f>
        <v>109.237915336588</v>
      </c>
      <c r="L227" s="139" t="n">
        <f aca="false">$H227*F227</f>
        <v>144.297264816997</v>
      </c>
      <c r="M227" s="139" t="n">
        <f aca="false">$H227*G227</f>
        <v>120.731038168374</v>
      </c>
      <c r="N227" s="139" t="n">
        <f aca="false">H227*external_curves!K157</f>
        <v>9.55611025278127</v>
      </c>
      <c r="O227" s="139" t="n">
        <f aca="false">H227*external_curves!Q157</f>
        <v>109.74392763659</v>
      </c>
      <c r="P227" s="139" t="n">
        <f aca="false">H227*external_curves!S157</f>
        <v>98.3533845984016</v>
      </c>
      <c r="Q227" s="35" t="n">
        <f aca="false">H227*external_curves!M157</f>
        <v>3.10449583130382</v>
      </c>
    </row>
    <row r="228" customFormat="false" ht="12.75" hidden="false" customHeight="false" outlineLevel="0" collapsed="false">
      <c r="A228" s="61" t="n">
        <v>40969</v>
      </c>
      <c r="B228" s="139" t="n">
        <f aca="false">B216*(1+$B$22)</f>
        <v>38.5446035602342</v>
      </c>
      <c r="C228" s="139" t="n">
        <f aca="false">C216*(1+$B$22)</f>
        <v>46.6265365647995</v>
      </c>
      <c r="D228" s="139"/>
      <c r="E228" s="139"/>
      <c r="F228" s="139" t="n">
        <f aca="false">$C$16*external_curves!K158</f>
        <v>59.2042043989053</v>
      </c>
      <c r="G228" s="139" t="n">
        <f aca="false">IF(swap_model!$B$37="Y",swap_model!B181,((F228*external_curves!AI158)+(Fwd_curves!B228*external_curves!AL158)+(Fwd_curves!C228*external_curves!AM158))/(external_curves!AH158))</f>
        <v>50.8489909869916</v>
      </c>
      <c r="H228" s="35" t="n">
        <f aca="false">external_curves!O158</f>
        <v>2.33181986121344</v>
      </c>
      <c r="I228" s="56" t="n">
        <f aca="false">F228/N228</f>
        <v>6.4756288644622</v>
      </c>
      <c r="J228" s="139" t="n">
        <f aca="false">$H228*B228</f>
        <v>89.8790721243524</v>
      </c>
      <c r="K228" s="139" t="n">
        <f aca="false">$H228*C228</f>
        <v>108.724684021394</v>
      </c>
      <c r="L228" s="139" t="n">
        <f aca="false">$H228*F228</f>
        <v>138.053539684708</v>
      </c>
      <c r="M228" s="139" t="n">
        <f aca="false">$H228*G228</f>
        <v>118.57068710613</v>
      </c>
      <c r="N228" s="139" t="n">
        <f aca="false">H228*external_curves!K158</f>
        <v>9.14261852216606</v>
      </c>
      <c r="O228" s="139" t="n">
        <f aca="false">H228*external_curves!Q158</f>
        <v>101.386961498935</v>
      </c>
      <c r="P228" s="139" t="n">
        <f aca="false">H228*external_curves!S158</f>
        <v>92.1099103733242</v>
      </c>
      <c r="Q228" s="35" t="n">
        <f aca="false">H228*external_curves!M158</f>
        <v>3.08800613717918</v>
      </c>
    </row>
    <row r="229" customFormat="false" ht="12.75" hidden="false" customHeight="false" outlineLevel="0" collapsed="false">
      <c r="A229" s="61" t="n">
        <v>41000</v>
      </c>
      <c r="B229" s="139" t="n">
        <f aca="false">B217*(1+$B$22)</f>
        <v>36.6795420976422</v>
      </c>
      <c r="C229" s="139" t="n">
        <f aca="false">C217*(1+$B$22)</f>
        <v>46.6265365647995</v>
      </c>
      <c r="D229" s="139"/>
      <c r="E229" s="139"/>
      <c r="F229" s="139" t="n">
        <f aca="false">$C$16*external_curves!K159</f>
        <v>56.8179945321162</v>
      </c>
      <c r="G229" s="139" t="n">
        <f aca="false">IF(swap_model!$B$37="Y",swap_model!B182,((F229*external_curves!AI159)+(Fwd_curves!B229*external_curves!AL159)+(Fwd_curves!C229*external_curves!AM159))/(external_curves!AH159))</f>
        <v>49.0615849072106</v>
      </c>
      <c r="H229" s="35" t="n">
        <f aca="false">external_curves!O159</f>
        <v>2.32010335391097</v>
      </c>
      <c r="I229" s="56" t="n">
        <f aca="false">F229/N229</f>
        <v>6.50833074938068</v>
      </c>
      <c r="J229" s="139" t="n">
        <f aca="false">$H229*B229</f>
        <v>85.1003286406583</v>
      </c>
      <c r="K229" s="139" t="n">
        <f aca="false">$H229*C229</f>
        <v>108.178383865244</v>
      </c>
      <c r="L229" s="139" t="n">
        <f aca="false">$H229*F229</f>
        <v>131.823619676458</v>
      </c>
      <c r="M229" s="139" t="n">
        <f aca="false">$H229*G229</f>
        <v>113.827947691407</v>
      </c>
      <c r="N229" s="139" t="n">
        <f aca="false">H229*external_curves!K159</f>
        <v>8.73004103817601</v>
      </c>
      <c r="O229" s="139" t="n">
        <f aca="false">H229*external_curves!Q159</f>
        <v>93.46525404145</v>
      </c>
      <c r="P229" s="139" t="n">
        <f aca="false">H229*external_curves!S159</f>
        <v>83.2763950403261</v>
      </c>
      <c r="Q229" s="35" t="n">
        <f aca="false">H229*external_curves!M159</f>
        <v>3.07047483710414</v>
      </c>
    </row>
    <row r="230" customFormat="false" ht="12.75" hidden="false" customHeight="false" outlineLevel="0" collapsed="false">
      <c r="A230" s="61" t="n">
        <v>41030</v>
      </c>
      <c r="B230" s="139" t="n">
        <f aca="false">B218*(1+$B$22)</f>
        <v>39.7879778686289</v>
      </c>
      <c r="C230" s="139" t="n">
        <f aca="false">C218*(1+$B$22)</f>
        <v>46.6265365647995</v>
      </c>
      <c r="D230" s="139"/>
      <c r="E230" s="139"/>
      <c r="F230" s="139" t="n">
        <f aca="false">$C$16*external_curves!K160</f>
        <v>56.4751602132976</v>
      </c>
      <c r="G230" s="139" t="n">
        <f aca="false">IF(swap_model!$B$37="Y",swap_model!B183,((F230*external_curves!AI160)+(Fwd_curves!B230*external_curves!AL160)+(Fwd_curves!C230*external_curves!AM160))/(external_curves!AH160))</f>
        <v>49.6683768789733</v>
      </c>
      <c r="H230" s="35" t="n">
        <f aca="false">external_curves!O160</f>
        <v>2.30881371989352</v>
      </c>
      <c r="I230" s="56" t="n">
        <f aca="false">F230/N230</f>
        <v>6.54015517574817</v>
      </c>
      <c r="J230" s="139" t="n">
        <f aca="false">$H230*B230</f>
        <v>91.8630291899101</v>
      </c>
      <c r="K230" s="139" t="n">
        <f aca="false">$H230*C230</f>
        <v>107.651987331926</v>
      </c>
      <c r="L230" s="139" t="n">
        <f aca="false">$H230*F230</f>
        <v>130.390624733646</v>
      </c>
      <c r="M230" s="139" t="n">
        <f aca="false">$H230*G230</f>
        <v>114.675029983016</v>
      </c>
      <c r="N230" s="139" t="n">
        <f aca="false">H230*external_curves!K160</f>
        <v>8.6351407108375</v>
      </c>
      <c r="O230" s="139" t="n">
        <f aca="false">H230*external_curves!Q160</f>
        <v>89.1346608154646</v>
      </c>
      <c r="P230" s="139" t="n">
        <f aca="false">H230*external_curves!S160</f>
        <v>68.0884434522137</v>
      </c>
      <c r="Q230" s="35" t="n">
        <f aca="false">H230*external_curves!M160</f>
        <v>3.05360263156782</v>
      </c>
    </row>
    <row r="231" customFormat="false" ht="12.75" hidden="false" customHeight="false" outlineLevel="0" collapsed="false">
      <c r="A231" s="61" t="n">
        <v>41061</v>
      </c>
      <c r="B231" s="139" t="n">
        <f aca="false">B219*(1+$B$22)</f>
        <v>39.7879778686289</v>
      </c>
      <c r="C231" s="139" t="n">
        <f aca="false">C219*(1+$B$22)</f>
        <v>46.6265365647995</v>
      </c>
      <c r="D231" s="139"/>
      <c r="E231" s="139"/>
      <c r="F231" s="139" t="n">
        <f aca="false">$C$16*external_curves!K161</f>
        <v>58.0928296425424</v>
      </c>
      <c r="G231" s="139" t="n">
        <f aca="false">IF(swap_model!$B$37="Y",swap_model!B184,((F231*external_curves!AI161)+(Fwd_curves!B231*external_curves!AL161)+(Fwd_curves!C231*external_curves!AM161))/(external_curves!AH161))</f>
        <v>50.5606321659654</v>
      </c>
      <c r="H231" s="35" t="n">
        <f aca="false">external_curves!O161</f>
        <v>2.29719813917943</v>
      </c>
      <c r="I231" s="56" t="n">
        <f aca="false">F231/N231</f>
        <v>6.57322489621806</v>
      </c>
      <c r="J231" s="139" t="n">
        <f aca="false">$H231*B231</f>
        <v>91.4008687215265</v>
      </c>
      <c r="K231" s="139" t="n">
        <f aca="false">$H231*C231</f>
        <v>107.110393033039</v>
      </c>
      <c r="L231" s="139" t="n">
        <f aca="false">$H231*F231</f>
        <v>133.450740154516</v>
      </c>
      <c r="M231" s="139" t="n">
        <f aca="false">$H231*G231</f>
        <v>116.147790127391</v>
      </c>
      <c r="N231" s="139" t="n">
        <f aca="false">H231*external_curves!K161</f>
        <v>8.83779736122622</v>
      </c>
      <c r="O231" s="139" t="n">
        <f aca="false">H231*external_curves!Q161</f>
        <v>89.3876173981346</v>
      </c>
      <c r="P231" s="139" t="n">
        <f aca="false">H231*external_curves!S161</f>
        <v>70.186282736932</v>
      </c>
      <c r="Q231" s="35" t="n">
        <f aca="false">H231*external_curves!M161</f>
        <v>3.03626417792577</v>
      </c>
    </row>
    <row r="232" customFormat="false" ht="12.75" hidden="false" customHeight="false" outlineLevel="0" collapsed="false">
      <c r="A232" s="61" t="n">
        <v>41091</v>
      </c>
      <c r="B232" s="139" t="n">
        <f aca="false">B220*(1+$B$22)</f>
        <v>37.3012292518396</v>
      </c>
      <c r="C232" s="139" t="n">
        <f aca="false">C220*(1+$B$22)</f>
        <v>47.4968985806757</v>
      </c>
      <c r="D232" s="139"/>
      <c r="E232" s="139"/>
      <c r="F232" s="139" t="n">
        <f aca="false">$C$16*external_curves!K162</f>
        <v>57.8640059726873</v>
      </c>
      <c r="G232" s="139" t="n">
        <f aca="false">IF(swap_model!$B$37="Y",swap_model!B185,((F232*external_curves!AI162)+(Fwd_curves!B232*external_curves!AL162)+(Fwd_curves!C232*external_curves!AM162))/(external_curves!AH162))</f>
        <v>49.8765701350728</v>
      </c>
      <c r="H232" s="35" t="n">
        <f aca="false">external_curves!O162</f>
        <v>2.28600583434395</v>
      </c>
      <c r="I232" s="56" t="n">
        <f aca="false">F232/N232</f>
        <v>6.60540746359622</v>
      </c>
      <c r="J232" s="139" t="n">
        <f aca="false">$H232*B232</f>
        <v>85.2708276979064</v>
      </c>
      <c r="K232" s="139" t="n">
        <f aca="false">$H232*C232</f>
        <v>108.578187268667</v>
      </c>
      <c r="L232" s="139" t="n">
        <f aca="false">$H232*F232</f>
        <v>132.277455252076</v>
      </c>
      <c r="M232" s="139" t="n">
        <f aca="false">$H232*G232</f>
        <v>114.018130325841</v>
      </c>
      <c r="N232" s="139" t="n">
        <f aca="false">H232*external_curves!K162</f>
        <v>8.76009637430968</v>
      </c>
      <c r="O232" s="139" t="n">
        <f aca="false">H232*external_curves!Q162</f>
        <v>147.778126886692</v>
      </c>
      <c r="P232" s="139" t="n">
        <f aca="false">H232*external_curves!S162</f>
        <v>117.661249701926</v>
      </c>
      <c r="Q232" s="35" t="n">
        <f aca="false">H232*external_curves!M162</f>
        <v>3.01957758248247</v>
      </c>
    </row>
    <row r="233" customFormat="false" ht="12.75" hidden="false" customHeight="false" outlineLevel="0" collapsed="false">
      <c r="A233" s="61" t="n">
        <v>41122</v>
      </c>
      <c r="B233" s="139" t="n">
        <f aca="false">B221*(1+$B$22)</f>
        <v>37.3012292518396</v>
      </c>
      <c r="C233" s="139" t="n">
        <f aca="false">C221*(1+$B$22)</f>
        <v>50.0333821698008</v>
      </c>
      <c r="D233" s="139"/>
      <c r="E233" s="139"/>
      <c r="F233" s="139" t="n">
        <f aca="false">$C$16*external_curves!K163</f>
        <v>57.8244800262534</v>
      </c>
      <c r="G233" s="139" t="n">
        <f aca="false">IF(swap_model!$B$37="Y",swap_model!B186,((F233*external_curves!AI163)+(Fwd_curves!B233*external_curves!AL163)+(Fwd_curves!C233*external_curves!AM163))/(external_curves!AH163))</f>
        <v>50.738231463174</v>
      </c>
      <c r="H233" s="35" t="n">
        <f aca="false">external_curves!O163</f>
        <v>2.27449047481799</v>
      </c>
      <c r="I233" s="56" t="n">
        <f aca="false">F233/N233</f>
        <v>6.63884952132339</v>
      </c>
      <c r="J233" s="139" t="n">
        <f aca="false">$H233*B233</f>
        <v>84.8412906323112</v>
      </c>
      <c r="K233" s="139" t="n">
        <f aca="false">$H233*C233</f>
        <v>113.80045116814</v>
      </c>
      <c r="L233" s="139" t="n">
        <f aca="false">$H233*F233</f>
        <v>131.521229031016</v>
      </c>
      <c r="M233" s="139" t="n">
        <f aca="false">$H233*G233</f>
        <v>115.4036241721</v>
      </c>
      <c r="N233" s="139" t="n">
        <f aca="false">H233*external_curves!K163</f>
        <v>8.71001516761698</v>
      </c>
      <c r="O233" s="139" t="n">
        <f aca="false">H233*external_curves!Q163</f>
        <v>199.481441377289</v>
      </c>
      <c r="P233" s="139" t="n">
        <f aca="false">H233*external_curves!S163</f>
        <v>156.988987495253</v>
      </c>
      <c r="Q233" s="35" t="n">
        <f aca="false">H233*external_curves!M163</f>
        <v>3.00242988225902</v>
      </c>
    </row>
    <row r="234" customFormat="false" ht="12.75" hidden="false" customHeight="false" outlineLevel="0" collapsed="false">
      <c r="A234" s="61" t="n">
        <v>41153</v>
      </c>
      <c r="B234" s="139" t="n">
        <f aca="false">B222*(1+$B$22)</f>
        <v>37.3012292518396</v>
      </c>
      <c r="C234" s="139" t="n">
        <f aca="false">C222*(1+$B$22)</f>
        <v>50.0333821698008</v>
      </c>
      <c r="D234" s="139"/>
      <c r="E234" s="139"/>
      <c r="F234" s="139" t="n">
        <f aca="false">$C$16*external_curves!K164</f>
        <v>57.5191008210318</v>
      </c>
      <c r="G234" s="139" t="n">
        <f aca="false">IF(swap_model!$B$37="Y",swap_model!B187,((F234*external_curves!AI164)+(Fwd_curves!B234*external_curves!AL164)+(Fwd_curves!C234*external_curves!AM164))/(external_curves!AH164))</f>
        <v>50.5807627971232</v>
      </c>
      <c r="H234" s="35" t="n">
        <f aca="false">external_curves!O164</f>
        <v>2.26302577806139</v>
      </c>
      <c r="I234" s="56" t="n">
        <f aca="false">F234/N234</f>
        <v>6.67248254367448</v>
      </c>
      <c r="J234" s="139" t="n">
        <f aca="false">$H234*B234</f>
        <v>84.4136433502906</v>
      </c>
      <c r="K234" s="139" t="n">
        <f aca="false">$H234*C234</f>
        <v>113.226833613857</v>
      </c>
      <c r="L234" s="139" t="n">
        <f aca="false">$H234*F234</f>
        <v>130.167207888907</v>
      </c>
      <c r="M234" s="139" t="n">
        <f aca="false">$H234*G234</f>
        <v>114.465570083898</v>
      </c>
      <c r="N234" s="139" t="n">
        <f aca="false">H234*external_curves!K164</f>
        <v>8.62034489330511</v>
      </c>
      <c r="O234" s="139" t="n">
        <f aca="false">H234*external_curves!Q164</f>
        <v>191.631434834032</v>
      </c>
      <c r="P234" s="139" t="n">
        <f aca="false">H234*external_curves!S164</f>
        <v>144.013655386334</v>
      </c>
      <c r="Q234" s="35" t="n">
        <f aca="false">H234*external_curves!M164</f>
        <v>2.98537832737236</v>
      </c>
    </row>
    <row r="235" customFormat="false" ht="12.75" hidden="false" customHeight="false" outlineLevel="0" collapsed="false">
      <c r="A235" s="61" t="n">
        <v>41183</v>
      </c>
      <c r="B235" s="139" t="n">
        <f aca="false">B223*(1+$B$22)</f>
        <v>37.3012292518396</v>
      </c>
      <c r="C235" s="139" t="n">
        <f aca="false">C223*(1+$B$22)</f>
        <v>49.7349723357861</v>
      </c>
      <c r="D235" s="139"/>
      <c r="E235" s="139"/>
      <c r="F235" s="139" t="n">
        <f aca="false">$C$16*external_curves!K165</f>
        <v>57.6902450728337</v>
      </c>
      <c r="G235" s="139" t="n">
        <f aca="false">IF(swap_model!$B$37="Y",swap_model!B188,((F235*external_curves!AI165)+(Fwd_curves!B235*external_curves!AL165)+(Fwd_curves!C235*external_curves!AM165))/(external_curves!AH165))</f>
        <v>50.5200567464648</v>
      </c>
      <c r="H235" s="35" t="n">
        <f aca="false">external_curves!O165</f>
        <v>2.25197897750926</v>
      </c>
      <c r="I235" s="56" t="n">
        <f aca="false">F235/N235</f>
        <v>6.70521357028873</v>
      </c>
      <c r="J235" s="139" t="n">
        <f aca="false">$H235*B235</f>
        <v>84.001584110396</v>
      </c>
      <c r="K235" s="139" t="n">
        <f aca="false">$H235*C235</f>
        <v>112.002112147195</v>
      </c>
      <c r="L235" s="139" t="n">
        <f aca="false">$H235*F235</f>
        <v>129.917219111378</v>
      </c>
      <c r="M235" s="139" t="n">
        <f aca="false">$H235*G235</f>
        <v>113.770105735613</v>
      </c>
      <c r="N235" s="139" t="n">
        <f aca="false">H235*external_curves!K165</f>
        <v>8.60378934512439</v>
      </c>
      <c r="O235" s="139" t="n">
        <f aca="false">H235*external_curves!Q165</f>
        <v>120.807302420603</v>
      </c>
      <c r="P235" s="139" t="n">
        <f aca="false">H235*external_curves!S165</f>
        <v>110.345681245225</v>
      </c>
      <c r="Q235" s="35" t="n">
        <f aca="false">H235*external_curves!M165</f>
        <v>2.96896786484648</v>
      </c>
    </row>
    <row r="236" customFormat="false" ht="12.75" hidden="false" customHeight="false" outlineLevel="0" collapsed="false">
      <c r="A236" s="61" t="n">
        <v>41214</v>
      </c>
      <c r="B236" s="139" t="n">
        <f aca="false">B224*(1+$B$22)</f>
        <v>41.0313521770235</v>
      </c>
      <c r="C236" s="139" t="n">
        <f aca="false">C224*(1+$B$22)</f>
        <v>49.7349723357861</v>
      </c>
      <c r="D236" s="139"/>
      <c r="E236" s="139"/>
      <c r="F236" s="139" t="n">
        <f aca="false">$C$16*external_curves!K166</f>
        <v>59.0175997506807</v>
      </c>
      <c r="G236" s="139" t="n">
        <f aca="false">IF(swap_model!$B$37="Y",swap_model!B189,((F236*external_curves!AI166)+(Fwd_curves!B236*external_curves!AL166)+(Fwd_curves!C236*external_curves!AM166))/(external_curves!AH166))</f>
        <v>52.1455941442593</v>
      </c>
      <c r="H236" s="35" t="n">
        <f aca="false">external_curves!O166</f>
        <v>2.24061344408726</v>
      </c>
      <c r="I236" s="56" t="n">
        <f aca="false">F236/N236</f>
        <v>6.73922583114338</v>
      </c>
      <c r="J236" s="139" t="n">
        <f aca="false">$H236*B236</f>
        <v>91.9353993169181</v>
      </c>
      <c r="K236" s="139" t="n">
        <f aca="false">$H236*C236</f>
        <v>111.43684765687</v>
      </c>
      <c r="L236" s="139" t="n">
        <f aca="false">$H236*F236</f>
        <v>132.235627439136</v>
      </c>
      <c r="M236" s="139" t="n">
        <f aca="false">$H236*G236</f>
        <v>116.838119289545</v>
      </c>
      <c r="N236" s="139" t="n">
        <f aca="false">H236*external_curves!K166</f>
        <v>8.7573263204726</v>
      </c>
      <c r="O236" s="139" t="n">
        <f aca="false">H236*external_curves!Q166</f>
        <v>117.169005734955</v>
      </c>
      <c r="P236" s="139" t="n">
        <f aca="false">H236*external_curves!S166</f>
        <v>103.169800797349</v>
      </c>
      <c r="Q236" s="35" t="n">
        <f aca="false">H236*external_curves!M166</f>
        <v>2.95210394897846</v>
      </c>
    </row>
    <row r="237" customFormat="false" ht="12.75" hidden="false" customHeight="false" outlineLevel="0" collapsed="false">
      <c r="A237" s="61" t="n">
        <v>41244</v>
      </c>
      <c r="B237" s="139" t="n">
        <f aca="false">B225*(1+$B$22)</f>
        <v>41.0313521770235</v>
      </c>
      <c r="C237" s="139" t="n">
        <f aca="false">C225*(1+$B$22)</f>
        <v>49.7349723357861</v>
      </c>
      <c r="D237" s="139"/>
      <c r="E237" s="139"/>
      <c r="F237" s="139" t="n">
        <f aca="false">$C$16*external_curves!K167</f>
        <v>60.5911340171156</v>
      </c>
      <c r="G237" s="139" t="n">
        <f aca="false">IF(swap_model!$B$37="Y",swap_model!B190,((F237*external_curves!AI167)+(Fwd_curves!B237*external_curves!AL167)+(Fwd_curves!C237*external_curves!AM167))/(external_curves!AH167))</f>
        <v>52.8122999754175</v>
      </c>
      <c r="H237" s="35" t="n">
        <f aca="false">external_curves!O167</f>
        <v>2.22966227021248</v>
      </c>
      <c r="I237" s="56" t="n">
        <f aca="false">F237/N237</f>
        <v>6.77232610594474</v>
      </c>
      <c r="J237" s="139" t="n">
        <f aca="false">$H237*B237</f>
        <v>91.4860578449101</v>
      </c>
      <c r="K237" s="139" t="n">
        <f aca="false">$H237*C237</f>
        <v>110.892191327164</v>
      </c>
      <c r="L237" s="139" t="n">
        <f aca="false">$H237*F237</f>
        <v>135.097765427351</v>
      </c>
      <c r="M237" s="139" t="n">
        <f aca="false">$H237*G237</f>
        <v>117.753592658332</v>
      </c>
      <c r="N237" s="139" t="n">
        <f aca="false">H237*external_curves!K167</f>
        <v>8.946871882606</v>
      </c>
      <c r="O237" s="139" t="n">
        <f aca="false">H237*external_curves!Q167</f>
        <v>117.258810920769</v>
      </c>
      <c r="P237" s="139" t="n">
        <f aca="false">H237*external_curves!S167</f>
        <v>102.585122836979</v>
      </c>
      <c r="Q237" s="35" t="n">
        <f aca="false">H237*external_curves!M167</f>
        <v>2.93587408414545</v>
      </c>
    </row>
    <row r="238" customFormat="false" ht="12.75" hidden="false" customHeight="false" outlineLevel="0" collapsed="false">
      <c r="A238" s="61" t="n">
        <v>41275</v>
      </c>
      <c r="B238" s="139" t="n">
        <f aca="false">B226*(1+$B$22)</f>
        <v>41.851979220564</v>
      </c>
      <c r="C238" s="139" t="n">
        <f aca="false">C226*(1+$B$22)</f>
        <v>48.827309090658</v>
      </c>
      <c r="D238" s="139"/>
      <c r="E238" s="139"/>
      <c r="F238" s="139" t="n">
        <f aca="false">$C$16*external_curves!K168</f>
        <v>64.5114044909512</v>
      </c>
      <c r="G238" s="139" t="n">
        <f aca="false">IF(swap_model!$B$37="Y",swap_model!B191,((F238*external_curves!AI168)+(Fwd_curves!B238*external_curves!AL168)+(Fwd_curves!C238*external_curves!AM168))/(external_curves!AH168))</f>
        <v>54.3353744620595</v>
      </c>
      <c r="H238" s="35" t="n">
        <f aca="false">external_curves!O168</f>
        <v>2.21839520272541</v>
      </c>
      <c r="I238" s="56" t="n">
        <f aca="false">F238/N238</f>
        <v>6.80672225645319</v>
      </c>
      <c r="J238" s="139" t="n">
        <f aca="false">$H238*B238</f>
        <v>92.8442299274626</v>
      </c>
      <c r="K238" s="139" t="n">
        <f aca="false">$H238*C238</f>
        <v>108.318268248706</v>
      </c>
      <c r="L238" s="139" t="n">
        <f aca="false">$H238*F238</f>
        <v>143.111790243804</v>
      </c>
      <c r="M238" s="139" t="n">
        <f aca="false">$H238*G238</f>
        <v>120.537334044921</v>
      </c>
      <c r="N238" s="139" t="n">
        <f aca="false">H238*external_curves!K168</f>
        <v>9.47760200290095</v>
      </c>
      <c r="O238" s="139" t="n">
        <f aca="false">H238*external_curves!Q168</f>
        <v>104.945087931682</v>
      </c>
      <c r="P238" s="139" t="n">
        <f aca="false">H238*external_curves!S168</f>
        <v>93.5743495694851</v>
      </c>
      <c r="Q238" s="35" t="n">
        <f aca="false">H238*external_curves!M168</f>
        <v>2.91919577000507</v>
      </c>
    </row>
    <row r="239" customFormat="false" ht="12.75" hidden="false" customHeight="false" outlineLevel="0" collapsed="false">
      <c r="A239" s="61" t="n">
        <v>41306</v>
      </c>
      <c r="B239" s="139" t="n">
        <f aca="false">B227*(1+$B$22)</f>
        <v>38.0472538368764</v>
      </c>
      <c r="C239" s="139" t="n">
        <f aca="false">C227*(1+$B$22)</f>
        <v>47.5590672960955</v>
      </c>
      <c r="D239" s="139"/>
      <c r="E239" s="139"/>
      <c r="F239" s="139" t="n">
        <f aca="false">$C$16*external_curves!K169</f>
        <v>62.820625536102</v>
      </c>
      <c r="G239" s="139" t="n">
        <f aca="false">IF(swap_model!$B$37="Y",swap_model!B192,((F239*external_curves!AI169)+(Fwd_curves!B239*external_curves!AL169)+(Fwd_curves!C239*external_curves!AM169))/(external_curves!AH169))</f>
        <v>52.5617584915226</v>
      </c>
      <c r="H239" s="35" t="n">
        <f aca="false">external_curves!O169</f>
        <v>2.20717790906288</v>
      </c>
      <c r="I239" s="56" t="n">
        <f aca="false">F239/N239</f>
        <v>6.84131530041053</v>
      </c>
      <c r="J239" s="139" t="n">
        <f aca="false">$H239*B239</f>
        <v>83.9770581692614</v>
      </c>
      <c r="K239" s="139" t="n">
        <f aca="false">$H239*C239</f>
        <v>104.971322711577</v>
      </c>
      <c r="L239" s="139" t="n">
        <f aca="false">$H239*F239</f>
        <v>138.656296916796</v>
      </c>
      <c r="M239" s="139" t="n">
        <f aca="false">$H239*G239</f>
        <v>116.013152203987</v>
      </c>
      <c r="N239" s="139" t="n">
        <f aca="false">H239*external_curves!K169</f>
        <v>9.18253621965535</v>
      </c>
      <c r="O239" s="139" t="n">
        <f aca="false">H239*external_curves!Q169</f>
        <v>102.897560102332</v>
      </c>
      <c r="P239" s="139" t="n">
        <f aca="false">H239*external_curves!S169</f>
        <v>92.1924542793407</v>
      </c>
      <c r="Q239" s="35" t="n">
        <f aca="false">H239*external_curves!M169</f>
        <v>2.90261100429708</v>
      </c>
    </row>
    <row r="240" customFormat="false" ht="12.75" hidden="false" customHeight="false" outlineLevel="0" collapsed="false">
      <c r="A240" s="61" t="n">
        <v>41334</v>
      </c>
      <c r="B240" s="139" t="n">
        <f aca="false">B228*(1+$B$22)</f>
        <v>39.3154956314389</v>
      </c>
      <c r="C240" s="139" t="n">
        <f aca="false">C228*(1+$B$22)</f>
        <v>47.5590672960955</v>
      </c>
      <c r="D240" s="139"/>
      <c r="E240" s="139"/>
      <c r="F240" s="139" t="n">
        <f aca="false">$C$16*external_curves!K170</f>
        <v>60.5115526412992</v>
      </c>
      <c r="G240" s="139" t="n">
        <f aca="false">IF(swap_model!$B$37="Y",swap_model!B193,((F240*external_curves!AI170)+(Fwd_curves!B240*external_curves!AL170)+(Fwd_curves!C240*external_curves!AM170))/(external_curves!AH170))</f>
        <v>51.9269401734317</v>
      </c>
      <c r="H240" s="35" t="n">
        <f aca="false">external_curves!O170</f>
        <v>2.19708879282256</v>
      </c>
      <c r="I240" s="56" t="n">
        <f aca="false">F240/N240</f>
        <v>6.87273088339836</v>
      </c>
      <c r="J240" s="139" t="n">
        <f aca="false">$H240*B240</f>
        <v>86.3796348360986</v>
      </c>
      <c r="K240" s="139" t="n">
        <f aca="false">$H240*C240</f>
        <v>104.491493753345</v>
      </c>
      <c r="L240" s="139" t="n">
        <f aca="false">$H240*F240</f>
        <v>132.949254144491</v>
      </c>
      <c r="M240" s="139" t="n">
        <f aca="false">$H240*G240</f>
        <v>114.088098300614</v>
      </c>
      <c r="N240" s="139" t="n">
        <f aca="false">H240*external_curves!K170</f>
        <v>8.8045863671848</v>
      </c>
      <c r="O240" s="139" t="n">
        <f aca="false">H240*external_curves!Q170</f>
        <v>95.0851102786428</v>
      </c>
      <c r="P240" s="139" t="n">
        <f aca="false">H240*external_curves!S170</f>
        <v>85.8554186341084</v>
      </c>
      <c r="Q240" s="35" t="n">
        <f aca="false">H240*external_curves!M170</f>
        <v>2.88771119212339</v>
      </c>
    </row>
    <row r="241" customFormat="false" ht="12.75" hidden="false" customHeight="false" outlineLevel="0" collapsed="false">
      <c r="A241" s="61" t="n">
        <v>41365</v>
      </c>
      <c r="B241" s="139" t="n">
        <f aca="false">B229*(1+$B$22)</f>
        <v>37.4131329395951</v>
      </c>
      <c r="C241" s="139" t="n">
        <f aca="false">C229*(1+$B$22)</f>
        <v>47.5590672960955</v>
      </c>
      <c r="D241" s="139"/>
      <c r="E241" s="139"/>
      <c r="F241" s="139" t="n">
        <f aca="false">$C$16*external_curves!K171</f>
        <v>58.2016252174763</v>
      </c>
      <c r="G241" s="139" t="n">
        <f aca="false">IF(swap_model!$B$37="Y",swap_model!B194,((F241*external_curves!AI171)+(Fwd_curves!B241*external_curves!AL171)+(Fwd_curves!C241*external_curves!AM171))/(external_curves!AH171))</f>
        <v>50.1582096428898</v>
      </c>
      <c r="H241" s="35" t="n">
        <f aca="false">external_curves!O171</f>
        <v>2.18596573617022</v>
      </c>
      <c r="I241" s="56" t="n">
        <f aca="false">F241/N241</f>
        <v>6.90770205138484</v>
      </c>
      <c r="J241" s="139" t="n">
        <f aca="false">$H241*B241</f>
        <v>81.7838266887362</v>
      </c>
      <c r="K241" s="139" t="n">
        <f aca="false">$H241*C241</f>
        <v>103.962491553478</v>
      </c>
      <c r="L241" s="139" t="n">
        <f aca="false">$H241*F241</f>
        <v>127.226758514824</v>
      </c>
      <c r="M241" s="139" t="n">
        <f aca="false">$H241*G241</f>
        <v>109.644127667</v>
      </c>
      <c r="N241" s="139" t="n">
        <f aca="false">H241*external_curves!K171</f>
        <v>8.42561314667706</v>
      </c>
      <c r="O241" s="139" t="n">
        <f aca="false">H241*external_curves!Q171</f>
        <v>87.6752383973915</v>
      </c>
      <c r="P241" s="139" t="n">
        <f aca="false">H241*external_curves!S171</f>
        <v>78.5803860108273</v>
      </c>
      <c r="Q241" s="35" t="n">
        <f aca="false">H241*external_curves!M171</f>
        <v>2.87130304232492</v>
      </c>
    </row>
    <row r="242" customFormat="false" ht="12.75" hidden="false" customHeight="false" outlineLevel="0" collapsed="false">
      <c r="A242" s="61" t="n">
        <v>41395</v>
      </c>
      <c r="B242" s="139" t="n">
        <f aca="false">B230*(1+$B$22)</f>
        <v>40.5837374260015</v>
      </c>
      <c r="C242" s="139" t="n">
        <f aca="false">C230*(1+$B$22)</f>
        <v>47.5590672960955</v>
      </c>
      <c r="D242" s="139"/>
      <c r="E242" s="139"/>
      <c r="F242" s="139" t="n">
        <f aca="false">$C$16*external_curves!K172</f>
        <v>57.8808777080868</v>
      </c>
      <c r="G242" s="139" t="n">
        <f aca="false">IF(swap_model!$B$37="Y",swap_model!B195,((F242*external_curves!AI172)+(Fwd_curves!B242*external_curves!AL172)+(Fwd_curves!C242*external_curves!AM172))/(external_curves!AH172))</f>
        <v>50.7924264464777</v>
      </c>
      <c r="H242" s="35" t="n">
        <f aca="false">external_curves!O172</f>
        <v>2.17524838759581</v>
      </c>
      <c r="I242" s="56" t="n">
        <f aca="false">F242/N242</f>
        <v>6.94173598109836</v>
      </c>
      <c r="J242" s="139" t="n">
        <f aca="false">$H242*B242</f>
        <v>88.2797093985213</v>
      </c>
      <c r="K242" s="139" t="n">
        <f aca="false">$H242*C242</f>
        <v>103.452784451392</v>
      </c>
      <c r="L242" s="139" t="n">
        <f aca="false">$H242*F242</f>
        <v>125.905285907146</v>
      </c>
      <c r="M242" s="139" t="n">
        <f aca="false">$H242*G242</f>
        <v>110.486143729779</v>
      </c>
      <c r="N242" s="139" t="n">
        <f aca="false">H242*external_curves!K172</f>
        <v>8.33809840444675</v>
      </c>
      <c r="O242" s="139" t="n">
        <f aca="false">H242*external_curves!Q172</f>
        <v>83.6236642307961</v>
      </c>
      <c r="P242" s="139" t="n">
        <f aca="false">H242*external_curves!S172</f>
        <v>63.8882393636983</v>
      </c>
      <c r="Q242" s="35" t="n">
        <f aca="false">H242*external_curves!M172</f>
        <v>2.85551183987694</v>
      </c>
    </row>
    <row r="243" customFormat="false" ht="12.75" hidden="false" customHeight="false" outlineLevel="0" collapsed="false">
      <c r="A243" s="61" t="n">
        <v>41426</v>
      </c>
      <c r="B243" s="139" t="n">
        <f aca="false">B231*(1+$B$22)</f>
        <v>40.5837374260015</v>
      </c>
      <c r="C243" s="139" t="n">
        <f aca="false">C231*(1+$B$22)</f>
        <v>47.5590672960955</v>
      </c>
      <c r="D243" s="139"/>
      <c r="E243" s="139"/>
      <c r="F243" s="139" t="n">
        <f aca="false">$C$16*external_curves!K173</f>
        <v>59.5051588777863</v>
      </c>
      <c r="G243" s="139" t="n">
        <f aca="false">IF(swap_model!$B$37="Y",swap_model!B196,((F243*external_curves!AI173)+(Fwd_curves!B243*external_curves!AL173)+(Fwd_curves!C243*external_curves!AM173))/(external_curves!AH173))</f>
        <v>51.6942981011213</v>
      </c>
      <c r="H243" s="35" t="n">
        <f aca="false">external_curves!O173</f>
        <v>2.16422208428478</v>
      </c>
      <c r="I243" s="56" t="n">
        <f aca="false">F243/N243</f>
        <v>6.9771028165948</v>
      </c>
      <c r="J243" s="139" t="n">
        <f aca="false">$H243*B243</f>
        <v>87.8322208001671</v>
      </c>
      <c r="K243" s="139" t="n">
        <f aca="false">$H243*C243</f>
        <v>102.928383750196</v>
      </c>
      <c r="L243" s="139" t="n">
        <f aca="false">$H243*F243</f>
        <v>128.78237897218</v>
      </c>
      <c r="M243" s="139" t="n">
        <f aca="false">$H243*G243</f>
        <v>111.877941582048</v>
      </c>
      <c r="N243" s="139" t="n">
        <f aca="false">H243*external_curves!K173</f>
        <v>8.52863436901852</v>
      </c>
      <c r="O243" s="139" t="n">
        <f aca="false">H243*external_curves!Q173</f>
        <v>83.8582630406356</v>
      </c>
      <c r="P243" s="139" t="n">
        <f aca="false">H243*external_curves!S173</f>
        <v>65.3914788113317</v>
      </c>
      <c r="Q243" s="35" t="n">
        <f aca="false">H243*external_curves!M173</f>
        <v>2.83928434198868</v>
      </c>
    </row>
    <row r="244" customFormat="false" ht="12.75" hidden="false" customHeight="false" outlineLevel="0" collapsed="false">
      <c r="A244" s="61" t="n">
        <v>41456</v>
      </c>
      <c r="B244" s="139" t="n">
        <f aca="false">B232*(1+$B$22)</f>
        <v>38.0472538368764</v>
      </c>
      <c r="C244" s="139" t="n">
        <f aca="false">C232*(1+$B$22)</f>
        <v>48.4468365522893</v>
      </c>
      <c r="D244" s="139"/>
      <c r="E244" s="139"/>
      <c r="F244" s="139" t="n">
        <f aca="false">$C$16*external_curves!K174</f>
        <v>59.2786270908222</v>
      </c>
      <c r="G244" s="139" t="n">
        <f aca="false">IF(swap_model!$B$37="Y",swap_model!B197,((F244*external_curves!AI174)+(Fwd_curves!B244*external_curves!AL174)+(Fwd_curves!C244*external_curves!AM174))/(external_curves!AH174))</f>
        <v>50.9903200533077</v>
      </c>
      <c r="H244" s="35" t="n">
        <f aca="false">external_curves!O174</f>
        <v>2.15359803551682</v>
      </c>
      <c r="I244" s="56" t="n">
        <f aca="false">F244/N244</f>
        <v>7.01152199759333</v>
      </c>
      <c r="J244" s="139" t="n">
        <f aca="false">$H244*B244</f>
        <v>81.9384911199069</v>
      </c>
      <c r="K244" s="139" t="n">
        <f aca="false">$H244*C244</f>
        <v>104.335012026015</v>
      </c>
      <c r="L244" s="139" t="n">
        <f aca="false">$H244*F244</f>
        <v>127.662334850929</v>
      </c>
      <c r="M244" s="139" t="n">
        <f aca="false">$H244*G244</f>
        <v>109.812653097177</v>
      </c>
      <c r="N244" s="139" t="n">
        <f aca="false">H244*external_curves!K174</f>
        <v>8.45445926165093</v>
      </c>
      <c r="O244" s="139" t="n">
        <f aca="false">H244*external_curves!Q174</f>
        <v>138.811470300365</v>
      </c>
      <c r="P244" s="139" t="n">
        <f aca="false">H244*external_curves!S174</f>
        <v>111.190238142839</v>
      </c>
      <c r="Q244" s="35" t="n">
        <f aca="false">H244*external_curves!M174</f>
        <v>2.82366701180563</v>
      </c>
    </row>
    <row r="245" customFormat="false" ht="12.75" hidden="false" customHeight="false" outlineLevel="0" collapsed="false">
      <c r="A245" s="61" t="n">
        <v>41487</v>
      </c>
      <c r="B245" s="139" t="n">
        <f aca="false">B233*(1+$B$22)</f>
        <v>38.0472538368764</v>
      </c>
      <c r="C245" s="139" t="n">
        <f aca="false">C233*(1+$B$22)</f>
        <v>51.0340498131968</v>
      </c>
      <c r="D245" s="139"/>
      <c r="E245" s="139"/>
      <c r="F245" s="139" t="n">
        <f aca="false">$C$16*external_curves!K175</f>
        <v>59.2399206439067</v>
      </c>
      <c r="G245" s="139" t="n">
        <f aca="false">IF(swap_model!$B$37="Y",swap_model!B198,((F245*external_curves!AI175)+(Fwd_curves!B245*external_curves!AL175)+(Fwd_curves!C245*external_curves!AM175))/(external_curves!AH175))</f>
        <v>51.8810793912321</v>
      </c>
      <c r="H245" s="35" t="n">
        <f aca="false">external_curves!O175</f>
        <v>2.14266779927037</v>
      </c>
      <c r="I245" s="56" t="n">
        <f aca="false">F245/N245</f>
        <v>7.04728936755473</v>
      </c>
      <c r="J245" s="139" t="n">
        <f aca="false">$H245*B245</f>
        <v>81.5226256469412</v>
      </c>
      <c r="K245" s="139" t="n">
        <f aca="false">$H245*C245</f>
        <v>109.349015201097</v>
      </c>
      <c r="L245" s="139" t="n">
        <f aca="false">$H245*F245</f>
        <v>126.931470395031</v>
      </c>
      <c r="M245" s="139" t="n">
        <f aca="false">$H245*G245</f>
        <v>111.163918202983</v>
      </c>
      <c r="N245" s="139" t="n">
        <f aca="false">H245*external_curves!K175</f>
        <v>8.40605764205505</v>
      </c>
      <c r="O245" s="139" t="n">
        <f aca="false">H245*external_curves!Q175</f>
        <v>187.155829434399</v>
      </c>
      <c r="P245" s="139" t="n">
        <f aca="false">H245*external_curves!S175</f>
        <v>147.248102776632</v>
      </c>
      <c r="Q245" s="35" t="n">
        <f aca="false">H245*external_curves!M175</f>
        <v>2.80761820333631</v>
      </c>
    </row>
    <row r="246" customFormat="false" ht="12.75" hidden="false" customHeight="false" outlineLevel="0" collapsed="false">
      <c r="A246" s="61" t="n">
        <v>41518</v>
      </c>
      <c r="B246" s="139" t="n">
        <f aca="false">B234*(1+$B$22)</f>
        <v>38.0472538368764</v>
      </c>
      <c r="C246" s="139" t="n">
        <f aca="false">C234*(1+$B$22)</f>
        <v>51.0340498131968</v>
      </c>
      <c r="D246" s="139"/>
      <c r="E246" s="139"/>
      <c r="F246" s="139" t="n">
        <f aca="false">$C$16*external_curves!K176</f>
        <v>58.918581840362</v>
      </c>
      <c r="G246" s="139" t="n">
        <f aca="false">IF(swap_model!$B$37="Y",swap_model!B199,((F246*external_curves!AI176)+(Fwd_curves!B246*external_curves!AL176)+(Fwd_curves!C246*external_curves!AM176))/(external_curves!AH176))</f>
        <v>51.7141597878215</v>
      </c>
      <c r="H246" s="35" t="n">
        <f aca="false">external_curves!O176</f>
        <v>2.13178612201664</v>
      </c>
      <c r="I246" s="56" t="n">
        <f aca="false">F246/N246</f>
        <v>7.08326217346588</v>
      </c>
      <c r="J246" s="139" t="n">
        <f aca="false">$H246*B246</f>
        <v>81.1086077102975</v>
      </c>
      <c r="K246" s="139" t="n">
        <f aca="false">$H246*C246</f>
        <v>108.793679142079</v>
      </c>
      <c r="L246" s="139" t="n">
        <f aca="false">$H246*F246</f>
        <v>125.601815096186</v>
      </c>
      <c r="M246" s="139" t="n">
        <f aca="false">$H246*G246</f>
        <v>110.243528147429</v>
      </c>
      <c r="N246" s="139" t="n">
        <f aca="false">H246*external_curves!K176</f>
        <v>8.31800099974739</v>
      </c>
      <c r="O246" s="139" t="n">
        <f aca="false">H246*external_curves!Q176</f>
        <v>179.461828315554</v>
      </c>
      <c r="P246" s="139" t="n">
        <f aca="false">H246*external_curves!S176</f>
        <v>134.878794118592</v>
      </c>
      <c r="Q246" s="35" t="n">
        <f aca="false">H246*external_curves!M176</f>
        <v>2.79165945890261</v>
      </c>
    </row>
    <row r="247" customFormat="false" ht="12.75" hidden="false" customHeight="false" outlineLevel="0" collapsed="false">
      <c r="A247" s="61" t="n">
        <v>41548</v>
      </c>
      <c r="B247" s="139" t="n">
        <f aca="false">B235*(1+$B$22)</f>
        <v>38.0472538368764</v>
      </c>
      <c r="C247" s="139" t="n">
        <f aca="false">C235*(1+$B$22)</f>
        <v>50.7296717825018</v>
      </c>
      <c r="D247" s="139"/>
      <c r="E247" s="139"/>
      <c r="F247" s="139" t="n">
        <f aca="false">$C$16*external_curves!K177</f>
        <v>59.0700617639913</v>
      </c>
      <c r="G247" s="139" t="n">
        <f aca="false">IF(swap_model!$B$37="Y",swap_model!B200,((F247*external_curves!AI177)+(Fwd_curves!B247*external_curves!AL177)+(Fwd_curves!C247*external_curves!AM177))/(external_curves!AH177))</f>
        <v>51.6325277219042</v>
      </c>
      <c r="H247" s="35" t="n">
        <f aca="false">external_curves!O177</f>
        <v>2.12130153547034</v>
      </c>
      <c r="I247" s="56" t="n">
        <f aca="false">F247/N247</f>
        <v>7.1182713760927</v>
      </c>
      <c r="J247" s="139" t="n">
        <f aca="false">$H247*B247</f>
        <v>80.7096979845955</v>
      </c>
      <c r="K247" s="139" t="n">
        <f aca="false">$H247*C247</f>
        <v>107.612930646127</v>
      </c>
      <c r="L247" s="139" t="n">
        <f aca="false">$H247*F247</f>
        <v>125.305412720282</v>
      </c>
      <c r="M247" s="139" t="n">
        <f aca="false">$H247*G247</f>
        <v>109.52816033669</v>
      </c>
      <c r="N247" s="139" t="n">
        <f aca="false">H247*external_curves!K177</f>
        <v>8.29837170332995</v>
      </c>
      <c r="O247" s="139" t="n">
        <f aca="false">H247*external_curves!Q177</f>
        <v>113.231427961353</v>
      </c>
      <c r="P247" s="139" t="n">
        <f aca="false">H247*external_curves!S177</f>
        <v>103.40138271853</v>
      </c>
      <c r="Q247" s="35" t="n">
        <f aca="false">H247*external_curves!M177</f>
        <v>2.77630079591401</v>
      </c>
    </row>
    <row r="248" customFormat="false" ht="12.75" hidden="false" customHeight="false" outlineLevel="0" collapsed="false">
      <c r="A248" s="61" t="n">
        <v>41579</v>
      </c>
      <c r="B248" s="139" t="n">
        <f aca="false">B236*(1+$B$22)</f>
        <v>41.851979220564</v>
      </c>
      <c r="C248" s="139" t="n">
        <f aca="false">C236*(1+$B$22)</f>
        <v>50.7296717825018</v>
      </c>
      <c r="D248" s="139"/>
      <c r="E248" s="139"/>
      <c r="F248" s="139" t="n">
        <f aca="false">$C$16*external_curves!K178</f>
        <v>60.293547654971</v>
      </c>
      <c r="G248" s="139" t="n">
        <f aca="false">IF(swap_model!$B$37="Y",swap_model!B201,((F248*external_curves!AI178)+(Fwd_curves!B248*external_curves!AL178)+(Fwd_curves!C248*external_curves!AM178))/(external_curves!AH178))</f>
        <v>53.2352418050131</v>
      </c>
      <c r="H248" s="35" t="n">
        <f aca="false">external_curves!O178</f>
        <v>2.11051489630802</v>
      </c>
      <c r="I248" s="56" t="n">
        <f aca="false">F248/N248</f>
        <v>7.15465217820298</v>
      </c>
      <c r="J248" s="139" t="n">
        <f aca="false">$H248*B248</f>
        <v>88.329225584974</v>
      </c>
      <c r="K248" s="139" t="n">
        <f aca="false">$H248*C248</f>
        <v>107.065727981787</v>
      </c>
      <c r="L248" s="139" t="n">
        <f aca="false">$H248*F248</f>
        <v>127.250430477074</v>
      </c>
      <c r="M248" s="139" t="n">
        <f aca="false">$H248*G248</f>
        <v>112.353770838039</v>
      </c>
      <c r="N248" s="139" t="n">
        <f aca="false">H248*external_curves!K178</f>
        <v>8.42718082629627</v>
      </c>
      <c r="O248" s="139" t="n">
        <f aca="false">H248*external_curves!Q178</f>
        <v>109.827201499077</v>
      </c>
      <c r="P248" s="139" t="n">
        <f aca="false">H248*external_curves!S178</f>
        <v>96.6834559818153</v>
      </c>
      <c r="Q248" s="35" t="n">
        <f aca="false">H248*external_curves!M178</f>
        <v>2.76051782076354</v>
      </c>
    </row>
    <row r="249" customFormat="false" ht="12.75" hidden="false" customHeight="false" outlineLevel="0" collapsed="false">
      <c r="A249" s="61" t="n">
        <v>41609</v>
      </c>
      <c r="B249" s="139" t="n">
        <f aca="false">B237*(1+$B$22)</f>
        <v>41.851979220564</v>
      </c>
      <c r="C249" s="139" t="n">
        <f aca="false">C237*(1+$B$22)</f>
        <v>50.7296717825018</v>
      </c>
      <c r="D249" s="139"/>
      <c r="E249" s="139"/>
      <c r="F249" s="139" t="n">
        <f aca="false">$C$16*external_curves!K179</f>
        <v>61.799134525657</v>
      </c>
      <c r="G249" s="139" t="n">
        <f aca="false">IF(swap_model!$B$37="Y",swap_model!B202,((F249*external_curves!AI179)+(Fwd_curves!B249*external_curves!AL179)+(Fwd_curves!C249*external_curves!AM179))/(external_curves!AH179))</f>
        <v>53.8667376355792</v>
      </c>
      <c r="H249" s="35" t="n">
        <f aca="false">external_curves!O179</f>
        <v>2.10012195354301</v>
      </c>
      <c r="I249" s="56" t="n">
        <f aca="false">F249/N249</f>
        <v>7.19005864136868</v>
      </c>
      <c r="J249" s="139" t="n">
        <f aca="false">$H249*B249</f>
        <v>87.8942603603324</v>
      </c>
      <c r="K249" s="139" t="n">
        <f aca="false">$H249*C249</f>
        <v>106.538497406463</v>
      </c>
      <c r="L249" s="139" t="n">
        <f aca="false">$H249*F249</f>
        <v>129.78571912729</v>
      </c>
      <c r="M249" s="139" t="n">
        <f aca="false">$H249*G249</f>
        <v>113.126718274221</v>
      </c>
      <c r="N249" s="139" t="n">
        <f aca="false">H249*external_curves!K179</f>
        <v>8.59508073690664</v>
      </c>
      <c r="O249" s="139" t="n">
        <f aca="false">H249*external_curves!Q179</f>
        <v>109.909219703363</v>
      </c>
      <c r="P249" s="139" t="n">
        <f aca="false">H249*external_curves!S179</f>
        <v>96.1340920112156</v>
      </c>
      <c r="Q249" s="35" t="n">
        <f aca="false">H249*external_curves!M179</f>
        <v>2.74532833029507</v>
      </c>
    </row>
    <row r="250" customFormat="false" ht="12.75" hidden="false" customHeight="false" outlineLevel="0" collapsed="false">
      <c r="A250" s="61" t="n">
        <v>41640</v>
      </c>
      <c r="B250" s="139" t="n">
        <f aca="false">B238*(1+$B$22)</f>
        <v>42.6890188049753</v>
      </c>
      <c r="C250" s="139" t="n">
        <f aca="false">C238*(1+$B$22)</f>
        <v>49.8038552724712</v>
      </c>
      <c r="D250" s="139"/>
      <c r="E250" s="139"/>
      <c r="F250" s="139" t="n">
        <f aca="false">$C$16*external_curves!K180</f>
        <v>65.7464771463837</v>
      </c>
      <c r="G250" s="139" t="n">
        <f aca="false">IF(swap_model!$B$37="Y",swap_model!B203,((F250*external_curves!AI180)+(Fwd_curves!B250*external_curves!AL180)+(Fwd_curves!C250*external_curves!AM180))/(external_curves!AH180))</f>
        <v>55.3971730454487</v>
      </c>
      <c r="H250" s="35" t="n">
        <f aca="false">external_curves!O180</f>
        <v>2.08942967424466</v>
      </c>
      <c r="I250" s="56" t="n">
        <f aca="false">F250/N250</f>
        <v>7.22685246894406</v>
      </c>
      <c r="J250" s="139" t="n">
        <f aca="false">$H250*B250</f>
        <v>89.1957026555036</v>
      </c>
      <c r="K250" s="139" t="n">
        <f aca="false">$H250*C250</f>
        <v>104.061653098088</v>
      </c>
      <c r="L250" s="139" t="n">
        <f aca="false">$H250*F250</f>
        <v>137.372640326702</v>
      </c>
      <c r="M250" s="139" t="n">
        <f aca="false">$H250*G250</f>
        <v>115.748497230427</v>
      </c>
      <c r="N250" s="139" t="n">
        <f aca="false">H250*external_curves!K180</f>
        <v>9.09752584945049</v>
      </c>
      <c r="O250" s="139" t="n">
        <f aca="false">H250*external_curves!Q180</f>
        <v>98.4063776733301</v>
      </c>
      <c r="P250" s="139" t="n">
        <f aca="false">H250*external_curves!S180</f>
        <v>87.7164450085346</v>
      </c>
      <c r="Q250" s="35" t="n">
        <f aca="false">H250*external_curves!M180</f>
        <v>2.72971921423939</v>
      </c>
    </row>
    <row r="251" customFormat="false" ht="12.75" hidden="false" customHeight="false" outlineLevel="0" collapsed="false">
      <c r="A251" s="61" t="n">
        <v>41671</v>
      </c>
      <c r="B251" s="139" t="n">
        <f aca="false">B239*(1+$B$22)</f>
        <v>38.8081989136139</v>
      </c>
      <c r="C251" s="139" t="n">
        <f aca="false">C239*(1+$B$22)</f>
        <v>48.5102486420174</v>
      </c>
      <c r="D251" s="139"/>
      <c r="E251" s="139"/>
      <c r="F251" s="139" t="n">
        <f aca="false">$C$16*external_curves!K181</f>
        <v>64.1446267068673</v>
      </c>
      <c r="G251" s="139" t="n">
        <f aca="false">IF(swap_model!$B$37="Y",swap_model!B204,((F251*external_curves!AI181)+(Fwd_curves!B251*external_curves!AL181)+(Fwd_curves!C251*external_curves!AM181))/(external_curves!AH181))</f>
        <v>53.6451787375641</v>
      </c>
      <c r="H251" s="35" t="n">
        <f aca="false">external_curves!O181</f>
        <v>2.07878508943201</v>
      </c>
      <c r="I251" s="56" t="n">
        <f aca="false">F251/N251</f>
        <v>7.26385814328014</v>
      </c>
      <c r="J251" s="139" t="n">
        <f aca="false">$H251*B251</f>
        <v>80.6739052493319</v>
      </c>
      <c r="K251" s="139" t="n">
        <f aca="false">$H251*C251</f>
        <v>100.842381561665</v>
      </c>
      <c r="L251" s="139" t="n">
        <f aca="false">$H251*F251</f>
        <v>133.342893565418</v>
      </c>
      <c r="M251" s="139" t="n">
        <f aca="false">$H251*G251</f>
        <v>111.516797679563</v>
      </c>
      <c r="N251" s="139" t="n">
        <f aca="false">H251*external_curves!K181</f>
        <v>8.8306552030078</v>
      </c>
      <c r="O251" s="139" t="n">
        <f aca="false">H251*external_curves!Q181</f>
        <v>96.4897292063581</v>
      </c>
      <c r="P251" s="139" t="n">
        <f aca="false">H251*external_curves!S181</f>
        <v>86.4278104886366</v>
      </c>
      <c r="Q251" s="35" t="n">
        <f aca="false">H251*external_curves!M181</f>
        <v>2.71419772732371</v>
      </c>
    </row>
    <row r="252" customFormat="false" ht="12.75" hidden="false" customHeight="false" outlineLevel="0" collapsed="false">
      <c r="A252" s="61" t="n">
        <v>41699</v>
      </c>
      <c r="B252" s="139" t="n">
        <f aca="false">B240*(1+$B$22)</f>
        <v>40.1018055440677</v>
      </c>
      <c r="C252" s="139" t="n">
        <f aca="false">C240*(1+$B$22)</f>
        <v>48.5102486420174</v>
      </c>
      <c r="D252" s="139"/>
      <c r="E252" s="139"/>
      <c r="F252" s="139" t="n">
        <f aca="false">$C$16*external_curves!K182</f>
        <v>61.9101556806666</v>
      </c>
      <c r="G252" s="139" t="n">
        <f aca="false">IF(swap_model!$B$37="Y",swap_model!B205,((F252*external_curves!AI182)+(Fwd_curves!B252*external_curves!AL182)+(Fwd_curves!C252*external_curves!AM182))/(external_curves!AH182))</f>
        <v>53.0586522175552</v>
      </c>
      <c r="H252" s="35" t="n">
        <f aca="false">external_curves!O182</f>
        <v>2.06921147549232</v>
      </c>
      <c r="I252" s="56" t="n">
        <f aca="false">F252/N252</f>
        <v>7.29746581190175</v>
      </c>
      <c r="J252" s="139" t="n">
        <f aca="false">$H252*B252</f>
        <v>82.9791162197465</v>
      </c>
      <c r="K252" s="139" t="n">
        <f aca="false">$H252*C252</f>
        <v>100.377963169048</v>
      </c>
      <c r="L252" s="139" t="n">
        <f aca="false">$H252*F252</f>
        <v>128.105204583952</v>
      </c>
      <c r="M252" s="139" t="n">
        <f aca="false">$H252*G252</f>
        <v>109.789572042721</v>
      </c>
      <c r="N252" s="139" t="n">
        <f aca="false">H252*external_curves!K182</f>
        <v>8.48378838304315</v>
      </c>
      <c r="O252" s="139" t="n">
        <f aca="false">H252*external_curves!Q182</f>
        <v>89.1691124567715</v>
      </c>
      <c r="P252" s="139" t="n">
        <f aca="false">H252*external_curves!S182</f>
        <v>80.4911736224025</v>
      </c>
      <c r="Q252" s="35" t="n">
        <f aca="false">H252*external_curves!M182</f>
        <v>2.70025323512064</v>
      </c>
    </row>
    <row r="253" customFormat="false" ht="12.75" hidden="false" customHeight="false" outlineLevel="0" collapsed="false">
      <c r="A253" s="61" t="n">
        <v>41730</v>
      </c>
      <c r="B253" s="139" t="n">
        <f aca="false">B241*(1+$B$22)</f>
        <v>38.161395598387</v>
      </c>
      <c r="C253" s="139" t="n">
        <f aca="false">C241*(1+$B$22)</f>
        <v>48.5102486420174</v>
      </c>
      <c r="D253" s="139"/>
      <c r="E253" s="139"/>
      <c r="F253" s="139" t="n">
        <f aca="false">$C$16*external_curves!K183</f>
        <v>59.6747031682388</v>
      </c>
      <c r="G253" s="139" t="n">
        <f aca="false">IF(swap_model!$B$37="Y",swap_model!B206,((F253*external_curves!AI183)+(Fwd_curves!B253*external_curves!AL183)+(Fwd_curves!C253*external_curves!AM183))/(external_curves!AH183))</f>
        <v>51.3055950440736</v>
      </c>
      <c r="H253" s="35" t="n">
        <f aca="false">external_curves!O183</f>
        <v>2.05865718393782</v>
      </c>
      <c r="I253" s="56" t="n">
        <f aca="false">F253/N253</f>
        <v>7.33487834585288</v>
      </c>
      <c r="J253" s="139" t="n">
        <f aca="false">$H253*B253</f>
        <v>78.5612311977125</v>
      </c>
      <c r="K253" s="139" t="n">
        <f aca="false">$H253*C253</f>
        <v>99.865971861499</v>
      </c>
      <c r="L253" s="139" t="n">
        <f aca="false">$H253*F253</f>
        <v>122.849756376652</v>
      </c>
      <c r="M253" s="139" t="n">
        <f aca="false">$H253*G253</f>
        <v>105.620631813687</v>
      </c>
      <c r="N253" s="139" t="n">
        <f aca="false">H253*external_curves!K183</f>
        <v>8.13574545540741</v>
      </c>
      <c r="O253" s="139" t="n">
        <f aca="false">H253*external_curves!Q183</f>
        <v>82.2384008525088</v>
      </c>
      <c r="P253" s="139" t="n">
        <f aca="false">H253*external_curves!S183</f>
        <v>73.6880474370694</v>
      </c>
      <c r="Q253" s="35" t="n">
        <f aca="false">H253*external_curves!M183</f>
        <v>2.68489718747988</v>
      </c>
    </row>
    <row r="254" customFormat="false" ht="12.75" hidden="false" customHeight="false" outlineLevel="0" collapsed="false">
      <c r="A254" s="61" t="n">
        <v>41760</v>
      </c>
      <c r="B254" s="139" t="n">
        <f aca="false">B242*(1+$B$22)</f>
        <v>41.3954121745215</v>
      </c>
      <c r="C254" s="139" t="n">
        <f aca="false">C242*(1+$B$22)</f>
        <v>48.5102486420174</v>
      </c>
      <c r="D254" s="139"/>
      <c r="E254" s="139"/>
      <c r="F254" s="139" t="n">
        <f aca="false">$C$16*external_curves!K184</f>
        <v>59.3756570157936</v>
      </c>
      <c r="G254" s="139" t="n">
        <f aca="false">IF(swap_model!$B$37="Y",swap_model!B207,((F254*external_curves!AI184)+(Fwd_curves!B254*external_curves!AL184)+(Fwd_curves!C254*external_curves!AM184))/(external_curves!AH184))</f>
        <v>51.9677923641813</v>
      </c>
      <c r="H254" s="35" t="n">
        <f aca="false">external_curves!O184</f>
        <v>2.04848828705207</v>
      </c>
      <c r="I254" s="56" t="n">
        <f aca="false">F254/N254</f>
        <v>7.37128940177152</v>
      </c>
      <c r="J254" s="139" t="n">
        <f aca="false">$H254*B254</f>
        <v>84.7980169771998</v>
      </c>
      <c r="K254" s="139" t="n">
        <f aca="false">$H254*C254</f>
        <v>99.372676145156</v>
      </c>
      <c r="L254" s="139" t="n">
        <f aca="false">$H254*F254</f>
        <v>121.630337932874</v>
      </c>
      <c r="M254" s="139" t="n">
        <f aca="false">$H254*G254</f>
        <v>106.455413961979</v>
      </c>
      <c r="N254" s="139" t="n">
        <f aca="false">H254*external_curves!K184</f>
        <v>8.05498926707775</v>
      </c>
      <c r="O254" s="139" t="n">
        <f aca="false">H254*external_curves!Q184</f>
        <v>78.4480844967526</v>
      </c>
      <c r="P254" s="139" t="n">
        <f aca="false">H254*external_curves!S184</f>
        <v>59.9430141538627</v>
      </c>
      <c r="Q254" s="35" t="n">
        <f aca="false">H254*external_curves!M184</f>
        <v>2.67011860097865</v>
      </c>
    </row>
    <row r="255" customFormat="false" ht="12.75" hidden="false" customHeight="false" outlineLevel="0" collapsed="false">
      <c r="A255" s="61" t="n">
        <v>41791</v>
      </c>
      <c r="B255" s="139" t="n">
        <f aca="false">B243*(1+$B$22)</f>
        <v>41.3954121745215</v>
      </c>
      <c r="C255" s="139" t="n">
        <f aca="false">C243*(1+$B$22)</f>
        <v>48.5102486420174</v>
      </c>
      <c r="D255" s="139"/>
      <c r="E255" s="139"/>
      <c r="F255" s="139" t="n">
        <f aca="false">$C$16*external_curves!K185</f>
        <v>61.0069757501426</v>
      </c>
      <c r="G255" s="139" t="n">
        <f aca="false">IF(swap_model!$B$37="Y",swap_model!B208,((F255*external_curves!AI185)+(Fwd_curves!B255*external_curves!AL185)+(Fwd_curves!C255*external_curves!AM185))/(external_curves!AH185))</f>
        <v>52.8805774250463</v>
      </c>
      <c r="H255" s="35" t="n">
        <f aca="false">external_curves!O185</f>
        <v>2.03802669029735</v>
      </c>
      <c r="I255" s="56" t="n">
        <f aca="false">F255/N255</f>
        <v>7.40912769783055</v>
      </c>
      <c r="J255" s="139" t="n">
        <f aca="false">$H255*B255</f>
        <v>84.3649548675346</v>
      </c>
      <c r="K255" s="139" t="n">
        <f aca="false">$H255*C255</f>
        <v>98.8651814853921</v>
      </c>
      <c r="L255" s="139" t="n">
        <f aca="false">$H255*F255</f>
        <v>124.333844873114</v>
      </c>
      <c r="M255" s="139" t="n">
        <f aca="false">$H255*G255</f>
        <v>107.77202819058</v>
      </c>
      <c r="N255" s="139" t="n">
        <f aca="false">H255*external_curves!K185</f>
        <v>8.23402946179561</v>
      </c>
      <c r="O255" s="139" t="n">
        <f aca="false">H255*external_curves!Q185</f>
        <v>78.6656283898026</v>
      </c>
      <c r="P255" s="139" t="n">
        <f aca="false">H255*external_curves!S185</f>
        <v>61.3510483532801</v>
      </c>
      <c r="Q255" s="35" t="n">
        <f aca="false">H255*external_curves!M185</f>
        <v>2.6549317715087</v>
      </c>
    </row>
    <row r="256" customFormat="false" ht="12.75" hidden="false" customHeight="false" outlineLevel="0" collapsed="false">
      <c r="A256" s="61" t="n">
        <v>41821</v>
      </c>
      <c r="B256" s="139" t="n">
        <f aca="false">B244*(1+$B$22)</f>
        <v>38.8081989136139</v>
      </c>
      <c r="C256" s="139" t="n">
        <f aca="false">C244*(1+$B$22)</f>
        <v>49.415773283335</v>
      </c>
      <c r="D256" s="139"/>
      <c r="E256" s="139"/>
      <c r="F256" s="139" t="n">
        <f aca="false">$C$16*external_curves!K186</f>
        <v>60.7826856135466</v>
      </c>
      <c r="G256" s="139" t="n">
        <f aca="false">IF(swap_model!$B$37="Y",swap_model!B209,((F256*external_curves!AI186)+(Fwd_curves!B256*external_curves!AL186)+(Fwd_curves!C256*external_curves!AM186))/(external_curves!AH186))</f>
        <v>52.1539588328484</v>
      </c>
      <c r="H256" s="35" t="n">
        <f aca="false">external_curves!O186</f>
        <v>2.02794717489823</v>
      </c>
      <c r="I256" s="56" t="n">
        <f aca="false">F256/N256</f>
        <v>7.44595332013902</v>
      </c>
      <c r="J256" s="139" t="n">
        <f aca="false">$H256*B256</f>
        <v>78.7009773497517</v>
      </c>
      <c r="K256" s="139" t="n">
        <f aca="false">$H256*C256</f>
        <v>100.212577825351</v>
      </c>
      <c r="L256" s="139" t="n">
        <f aca="false">$H256*F256</f>
        <v>123.264075572719</v>
      </c>
      <c r="M256" s="139" t="n">
        <f aca="false">$H256*G256</f>
        <v>105.765473474833</v>
      </c>
      <c r="N256" s="139" t="n">
        <f aca="false">H256*external_curves!K186</f>
        <v>8.16318381276284</v>
      </c>
      <c r="O256" s="139" t="n">
        <f aca="false">H256*external_curves!Q186</f>
        <v>130.378806637866</v>
      </c>
      <c r="P256" s="139" t="n">
        <f aca="false">H256*external_curves!S186</f>
        <v>104.37651991182</v>
      </c>
      <c r="Q256" s="35" t="n">
        <f aca="false">H256*external_curves!M186</f>
        <v>2.64031605179963</v>
      </c>
    </row>
    <row r="257" customFormat="false" ht="12.75" hidden="false" customHeight="false" outlineLevel="0" collapsed="false">
      <c r="A257" s="61" t="n">
        <v>41852</v>
      </c>
      <c r="B257" s="139" t="n">
        <f aca="false">B245*(1+$B$22)</f>
        <v>38.8081989136139</v>
      </c>
      <c r="C257" s="139" t="n">
        <f aca="false">C245*(1+$B$22)</f>
        <v>52.0547308094608</v>
      </c>
      <c r="D257" s="139"/>
      <c r="E257" s="139"/>
      <c r="F257" s="139" t="n">
        <f aca="false">$C$16*external_curves!K187</f>
        <v>60.7448279826133</v>
      </c>
      <c r="G257" s="139" t="n">
        <f aca="false">IF(swap_model!$B$37="Y",swap_model!B210,((F257*external_curves!AI187)+(Fwd_curves!B257*external_curves!AL187)+(Fwd_curves!C257*external_curves!AM187))/(external_curves!AH187))</f>
        <v>53.0770344262407</v>
      </c>
      <c r="H257" s="35" t="n">
        <f aca="false">external_curves!O187</f>
        <v>2.01757760589187</v>
      </c>
      <c r="I257" s="56" t="n">
        <f aca="false">F257/N257</f>
        <v>7.484222641996</v>
      </c>
      <c r="J257" s="139" t="n">
        <f aca="false">$H257*B257</f>
        <v>78.2985530531045</v>
      </c>
      <c r="K257" s="139" t="n">
        <f aca="false">$H257*C257</f>
        <v>105.024459161897</v>
      </c>
      <c r="L257" s="139" t="n">
        <f aca="false">$H257*F257</f>
        <v>122.557404611474</v>
      </c>
      <c r="M257" s="139" t="n">
        <f aca="false">$H257*G257</f>
        <v>107.087036045535</v>
      </c>
      <c r="N257" s="139" t="n">
        <f aca="false">H257*external_curves!K187</f>
        <v>8.11638441135591</v>
      </c>
      <c r="O257" s="139" t="n">
        <f aca="false">H257*external_curves!Q187</f>
        <v>175.579836642329</v>
      </c>
      <c r="P257" s="139" t="n">
        <f aca="false">H257*external_curves!S187</f>
        <v>137.214373160333</v>
      </c>
      <c r="Q257" s="35" t="n">
        <f aca="false">H257*external_curves!M187</f>
        <v>2.62529660051329</v>
      </c>
    </row>
    <row r="258" customFormat="false" ht="12.75" hidden="false" customHeight="false" outlineLevel="0" collapsed="false">
      <c r="A258" s="61" t="n">
        <v>41883</v>
      </c>
      <c r="B258" s="139" t="n">
        <f aca="false">B246*(1+$B$22)</f>
        <v>38.8081989136139</v>
      </c>
      <c r="C258" s="139" t="n">
        <f aca="false">C246*(1+$B$22)</f>
        <v>52.0547308094608</v>
      </c>
      <c r="D258" s="139"/>
      <c r="E258" s="139"/>
      <c r="F258" s="139" t="n">
        <f aca="false">$C$16*external_curves!K188</f>
        <v>60.4077305865462</v>
      </c>
      <c r="G258" s="139" t="n">
        <f aca="false">IF(swap_model!$B$37="Y",swap_model!B211,((F258*external_curves!AI188)+(Fwd_curves!B258*external_curves!AL188)+(Fwd_curves!C258*external_curves!AM188))/(external_curves!AH188))</f>
        <v>52.9003784592733</v>
      </c>
      <c r="H258" s="35" t="n">
        <f aca="false">external_curves!O188</f>
        <v>2.00725455048265</v>
      </c>
      <c r="I258" s="56" t="n">
        <f aca="false">F258/N258</f>
        <v>7.522713049209</v>
      </c>
      <c r="J258" s="139" t="n">
        <f aca="false">$H258*B258</f>
        <v>77.8979338653875</v>
      </c>
      <c r="K258" s="139" t="n">
        <f aca="false">$H258*C258</f>
        <v>104.48709529144</v>
      </c>
      <c r="L258" s="139" t="n">
        <f aca="false">$H258*F258</f>
        <v>121.253692104175</v>
      </c>
      <c r="M258" s="139" t="n">
        <f aca="false">$H258*G258</f>
        <v>106.184525384631</v>
      </c>
      <c r="N258" s="139" t="n">
        <f aca="false">H258*external_curves!K188</f>
        <v>8.03004583471358</v>
      </c>
      <c r="O258" s="139" t="n">
        <f aca="false">H258*external_curves!Q188</f>
        <v>168.055074107986</v>
      </c>
      <c r="P258" s="139" t="n">
        <f aca="false">H258*external_curves!S188</f>
        <v>127.289928503973</v>
      </c>
      <c r="Q258" s="35" t="n">
        <f aca="false">H258*external_curves!M188</f>
        <v>2.61036151146297</v>
      </c>
    </row>
    <row r="259" customFormat="false" ht="12.75" hidden="false" customHeight="false" outlineLevel="0" collapsed="false">
      <c r="A259" s="61" t="n">
        <v>41913</v>
      </c>
      <c r="B259" s="139" t="n">
        <f aca="false">B247*(1+$B$22)</f>
        <v>38.8081989136139</v>
      </c>
      <c r="C259" s="139" t="n">
        <f aca="false">C247*(1+$B$22)</f>
        <v>51.7442652181519</v>
      </c>
      <c r="D259" s="139"/>
      <c r="E259" s="139"/>
      <c r="F259" s="139" t="n">
        <f aca="false">$C$16*external_curves!K189</f>
        <v>60.539938843903</v>
      </c>
      <c r="G259" s="139" t="n">
        <f aca="false">IF(swap_model!$B$37="Y",swap_model!B212,((F259*external_curves!AI189)+(Fwd_curves!B259*external_curves!AL189)+(Fwd_curves!C259*external_curves!AM189))/(external_curves!AH189))</f>
        <v>52.795457690047</v>
      </c>
      <c r="H259" s="35" t="n">
        <f aca="false">external_curves!O189</f>
        <v>1.99730862291341</v>
      </c>
      <c r="I259" s="56" t="n">
        <f aca="false">F259/N259</f>
        <v>7.56017363905138</v>
      </c>
      <c r="J259" s="139" t="n">
        <f aca="false">$H259*B259</f>
        <v>77.5119503299</v>
      </c>
      <c r="K259" s="139" t="n">
        <f aca="false">$H259*C259</f>
        <v>103.349267106533</v>
      </c>
      <c r="L259" s="139" t="n">
        <f aca="false">$H259*F259</f>
        <v>120.916941883578</v>
      </c>
      <c r="M259" s="139" t="n">
        <f aca="false">$H259*G259</f>
        <v>105.448822894991</v>
      </c>
      <c r="N259" s="139" t="n">
        <f aca="false">H259*external_curves!K189</f>
        <v>8.0077444956012</v>
      </c>
      <c r="O259" s="139" t="n">
        <f aca="false">H259*external_curves!Q189</f>
        <v>106.12399284001</v>
      </c>
      <c r="P259" s="139" t="n">
        <f aca="false">H259*external_curves!S189</f>
        <v>96.8881371724982</v>
      </c>
      <c r="Q259" s="35" t="n">
        <f aca="false">H259*external_curves!M189</f>
        <v>2.59598808317051</v>
      </c>
    </row>
    <row r="260" customFormat="false" ht="12.75" hidden="false" customHeight="false" outlineLevel="0" collapsed="false">
      <c r="A260" s="61" t="n">
        <v>41944</v>
      </c>
      <c r="B260" s="139" t="n">
        <f aca="false">B248*(1+$B$22)</f>
        <v>42.6890188049753</v>
      </c>
      <c r="C260" s="139" t="n">
        <f aca="false">C248*(1+$B$22)</f>
        <v>51.7442652181519</v>
      </c>
      <c r="D260" s="139"/>
      <c r="E260" s="139"/>
      <c r="F260" s="139" t="n">
        <f aca="false">$C$16*external_curves!K190</f>
        <v>61.6615325796979</v>
      </c>
      <c r="G260" s="139" t="n">
        <f aca="false">IF(swap_model!$B$37="Y",swap_model!B213,((F260*external_curves!AI190)+(Fwd_curves!B260*external_curves!AL190)+(Fwd_curves!C260*external_curves!AM190))/(external_curves!AH190))</f>
        <v>54.3792023605757</v>
      </c>
      <c r="H260" s="35" t="n">
        <f aca="false">external_curves!O190</f>
        <v>1.98707659529755</v>
      </c>
      <c r="I260" s="56" t="n">
        <f aca="false">F260/N260</f>
        <v>7.59910314264402</v>
      </c>
      <c r="J260" s="139" t="n">
        <f aca="false">$H260*B260</f>
        <v>84.8263501435834</v>
      </c>
      <c r="K260" s="139" t="n">
        <f aca="false">$H260*C260</f>
        <v>102.819818355859</v>
      </c>
      <c r="L260" s="139" t="n">
        <f aca="false">$H260*F260</f>
        <v>122.526188219295</v>
      </c>
      <c r="M260" s="139" t="n">
        <f aca="false">$H260*G260</f>
        <v>108.055640281649</v>
      </c>
      <c r="N260" s="139" t="n">
        <f aca="false">H260*external_curves!K190</f>
        <v>8.11431710061558</v>
      </c>
      <c r="O260" s="139" t="n">
        <f aca="false">H260*external_curves!Q190</f>
        <v>102.938959263246</v>
      </c>
      <c r="P260" s="139" t="n">
        <f aca="false">H260*external_curves!S190</f>
        <v>90.0411883476456</v>
      </c>
      <c r="Q260" s="35" t="n">
        <f aca="false">H260*external_curves!M190</f>
        <v>2.58121763448462</v>
      </c>
    </row>
    <row r="261" customFormat="false" ht="12.75" hidden="false" customHeight="false" outlineLevel="0" collapsed="false">
      <c r="A261" s="61" t="n">
        <v>41974</v>
      </c>
      <c r="B261" s="139" t="n">
        <f aca="false">B249*(1+$B$22)</f>
        <v>42.6890188049753</v>
      </c>
      <c r="C261" s="139" t="n">
        <f aca="false">C249*(1+$B$22)</f>
        <v>51.7442652181519</v>
      </c>
      <c r="D261" s="139"/>
      <c r="E261" s="139"/>
      <c r="F261" s="139" t="n">
        <f aca="false">$C$16*external_curves!K191</f>
        <v>63.1006808936048</v>
      </c>
      <c r="G261" s="139" t="n">
        <f aca="false">IF(swap_model!$B$37="Y",swap_model!B214,((F261*external_curves!AI191)+(Fwd_curves!B261*external_curves!AL191)+(Fwd_curves!C261*external_curves!AM191))/(external_curves!AH191))</f>
        <v>54.9750917625609</v>
      </c>
      <c r="H261" s="35" t="n">
        <f aca="false">external_curves!O191</f>
        <v>1.97721843989094</v>
      </c>
      <c r="I261" s="56" t="n">
        <f aca="false">F261/N261</f>
        <v>7.63699128804042</v>
      </c>
      <c r="J261" s="139" t="n">
        <f aca="false">$H261*B261</f>
        <v>84.4055151620484</v>
      </c>
      <c r="K261" s="139" t="n">
        <f aca="false">$H261*C261</f>
        <v>102.309715347937</v>
      </c>
      <c r="L261" s="139" t="n">
        <f aca="false">$H261*F261</f>
        <v>124.76382983251</v>
      </c>
      <c r="M261" s="139" t="n">
        <f aca="false">$H261*G261</f>
        <v>108.697765167632</v>
      </c>
      <c r="N261" s="139" t="n">
        <f aca="false">H261*external_curves!K191</f>
        <v>8.26250528692116</v>
      </c>
      <c r="O261" s="139" t="n">
        <f aca="false">H261*external_curves!Q191</f>
        <v>103.013817013262</v>
      </c>
      <c r="P261" s="139" t="n">
        <f aca="false">H261*external_curves!S191</f>
        <v>90.6237508088258</v>
      </c>
      <c r="Q261" s="35" t="n">
        <f aca="false">H261*external_curves!M191</f>
        <v>2.56700266666488</v>
      </c>
    </row>
    <row r="262" customFormat="false" ht="12.75" hidden="false" customHeight="false" outlineLevel="0" collapsed="false">
      <c r="F262" s="35"/>
    </row>
    <row r="263" customFormat="false" ht="12.75" hidden="false" customHeight="false" outlineLevel="0" collapsed="false">
      <c r="A263" s="61"/>
      <c r="B263" s="139"/>
      <c r="C263" s="139"/>
      <c r="D263" s="139"/>
      <c r="E263" s="139"/>
      <c r="F263" s="35"/>
      <c r="G263" s="61"/>
      <c r="H263" s="139"/>
      <c r="I263" s="139"/>
      <c r="J263" s="139"/>
      <c r="K263" s="139"/>
      <c r="L263" s="139"/>
      <c r="M263" s="139"/>
      <c r="N263" s="139"/>
      <c r="O263" s="35"/>
    </row>
    <row r="264" customFormat="false" ht="12.75" hidden="false" customHeight="false" outlineLevel="0" collapsed="false">
      <c r="A264" s="61"/>
      <c r="B264" s="139"/>
      <c r="C264" s="139"/>
      <c r="D264" s="139"/>
      <c r="E264" s="139"/>
      <c r="F264" s="35"/>
      <c r="G264" s="61"/>
      <c r="H264" s="139"/>
      <c r="I264" s="139"/>
      <c r="J264" s="139"/>
      <c r="K264" s="139"/>
      <c r="L264" s="139"/>
      <c r="M264" s="139"/>
      <c r="N264" s="139"/>
      <c r="O264" s="35"/>
    </row>
    <row r="265" customFormat="false" ht="12.75" hidden="false" customHeight="false" outlineLevel="0" collapsed="false">
      <c r="A265" s="61"/>
      <c r="B265" s="139"/>
      <c r="C265" s="139"/>
      <c r="D265" s="139"/>
      <c r="E265" s="139"/>
      <c r="F265" s="35"/>
      <c r="G265" s="61"/>
      <c r="H265" s="139"/>
      <c r="I265" s="139"/>
      <c r="J265" s="139"/>
      <c r="K265" s="139"/>
      <c r="L265" s="139"/>
      <c r="M265" s="139"/>
      <c r="N265" s="139"/>
      <c r="O265" s="35"/>
    </row>
    <row r="266" customFormat="false" ht="12.75" hidden="false" customHeight="false" outlineLevel="0" collapsed="false">
      <c r="A266" s="61"/>
      <c r="B266" s="139"/>
      <c r="C266" s="139"/>
      <c r="D266" s="139"/>
      <c r="E266" s="139"/>
      <c r="F266" s="35"/>
      <c r="G266" s="61"/>
      <c r="H266" s="139"/>
      <c r="I266" s="139"/>
      <c r="J266" s="139"/>
      <c r="K266" s="139"/>
      <c r="L266" s="139"/>
      <c r="M266" s="139"/>
      <c r="N266" s="139"/>
      <c r="O266" s="35"/>
    </row>
    <row r="267" customFormat="false" ht="12.75" hidden="false" customHeight="false" outlineLevel="0" collapsed="false">
      <c r="A267" s="61"/>
      <c r="B267" s="139"/>
      <c r="C267" s="139"/>
      <c r="D267" s="139"/>
      <c r="E267" s="139"/>
      <c r="F267" s="35"/>
      <c r="G267" s="61"/>
      <c r="H267" s="139"/>
      <c r="I267" s="139"/>
      <c r="J267" s="139"/>
      <c r="K267" s="139"/>
      <c r="L267" s="139"/>
      <c r="M267" s="139"/>
      <c r="N267" s="139"/>
      <c r="O267" s="35"/>
    </row>
    <row r="268" customFormat="false" ht="12.75" hidden="false" customHeight="false" outlineLevel="0" collapsed="false">
      <c r="A268" s="61"/>
      <c r="B268" s="139"/>
      <c r="C268" s="139"/>
      <c r="D268" s="139"/>
      <c r="E268" s="139"/>
      <c r="F268" s="35"/>
      <c r="G268" s="61"/>
      <c r="H268" s="139"/>
      <c r="I268" s="139"/>
      <c r="J268" s="139"/>
      <c r="K268" s="139"/>
      <c r="L268" s="139"/>
      <c r="M268" s="139"/>
      <c r="N268" s="139"/>
      <c r="O268" s="35"/>
    </row>
    <row r="269" customFormat="false" ht="12.75" hidden="false" customHeight="false" outlineLevel="0" collapsed="false">
      <c r="A269" s="61"/>
      <c r="B269" s="139"/>
      <c r="C269" s="139"/>
      <c r="D269" s="139"/>
      <c r="E269" s="139"/>
      <c r="F269" s="35"/>
      <c r="G269" s="61"/>
      <c r="H269" s="139"/>
      <c r="I269" s="139"/>
      <c r="J269" s="139"/>
      <c r="K269" s="139"/>
      <c r="L269" s="139"/>
      <c r="M269" s="139"/>
      <c r="N269" s="139"/>
      <c r="O269" s="35"/>
    </row>
    <row r="270" customFormat="false" ht="12.75" hidden="false" customHeight="false" outlineLevel="0" collapsed="false">
      <c r="A270" s="61"/>
      <c r="B270" s="139"/>
      <c r="C270" s="139"/>
      <c r="D270" s="139"/>
      <c r="E270" s="139"/>
      <c r="F270" s="35"/>
      <c r="G270" s="61"/>
      <c r="H270" s="139"/>
      <c r="I270" s="139"/>
      <c r="J270" s="139"/>
      <c r="K270" s="139"/>
      <c r="L270" s="139"/>
      <c r="M270" s="139"/>
      <c r="N270" s="139"/>
      <c r="O270" s="35"/>
    </row>
    <row r="271" customFormat="false" ht="12.75" hidden="false" customHeight="false" outlineLevel="0" collapsed="false">
      <c r="A271" s="61"/>
      <c r="B271" s="139"/>
      <c r="C271" s="139"/>
      <c r="D271" s="139"/>
      <c r="E271" s="139"/>
      <c r="F271" s="35"/>
      <c r="G271" s="61"/>
      <c r="H271" s="139"/>
      <c r="I271" s="139"/>
      <c r="J271" s="139"/>
      <c r="K271" s="139"/>
      <c r="L271" s="139"/>
      <c r="M271" s="139"/>
      <c r="N271" s="139"/>
      <c r="O271" s="35"/>
    </row>
    <row r="272" customFormat="false" ht="12.75" hidden="false" customHeight="false" outlineLevel="0" collapsed="false">
      <c r="A272" s="61"/>
      <c r="B272" s="139"/>
      <c r="C272" s="139"/>
      <c r="D272" s="139"/>
      <c r="E272" s="139"/>
      <c r="F272" s="35"/>
      <c r="G272" s="61"/>
      <c r="H272" s="139"/>
      <c r="I272" s="139"/>
      <c r="J272" s="139"/>
      <c r="K272" s="139"/>
      <c r="L272" s="139"/>
      <c r="M272" s="139"/>
      <c r="N272" s="139"/>
      <c r="O272" s="35"/>
    </row>
    <row r="273" customFormat="false" ht="12.75" hidden="false" customHeight="false" outlineLevel="0" collapsed="false">
      <c r="A273" s="61"/>
      <c r="B273" s="139"/>
      <c r="C273" s="139"/>
      <c r="D273" s="139"/>
      <c r="E273" s="139"/>
      <c r="F273" s="35"/>
      <c r="G273" s="61"/>
      <c r="H273" s="139"/>
      <c r="I273" s="139"/>
      <c r="J273" s="139"/>
      <c r="K273" s="139"/>
      <c r="L273" s="139"/>
      <c r="M273" s="139"/>
      <c r="N273" s="139"/>
      <c r="O273" s="35"/>
    </row>
    <row r="274" customFormat="false" ht="12.75" hidden="false" customHeight="false" outlineLevel="0" collapsed="false">
      <c r="A274" s="61"/>
      <c r="B274" s="139"/>
      <c r="C274" s="139"/>
      <c r="D274" s="139"/>
      <c r="E274" s="139"/>
      <c r="F274" s="35"/>
      <c r="G274" s="61"/>
      <c r="H274" s="139"/>
      <c r="I274" s="139"/>
      <c r="J274" s="139"/>
      <c r="K274" s="139"/>
      <c r="L274" s="139"/>
      <c r="M274" s="139"/>
      <c r="N274" s="139"/>
      <c r="O274" s="35"/>
    </row>
    <row r="275" customFormat="false" ht="12.75" hidden="false" customHeight="false" outlineLevel="0" collapsed="false">
      <c r="A275" s="61"/>
      <c r="B275" s="139"/>
      <c r="C275" s="139"/>
      <c r="D275" s="139"/>
      <c r="E275" s="139"/>
      <c r="F275" s="35"/>
      <c r="G275" s="61"/>
      <c r="H275" s="139"/>
      <c r="I275" s="139"/>
      <c r="J275" s="139"/>
      <c r="K275" s="139"/>
      <c r="L275" s="139"/>
      <c r="M275" s="139"/>
      <c r="N275" s="139"/>
      <c r="O275" s="35"/>
    </row>
  </sheetData>
  <mergeCells count="5">
    <mergeCell ref="A12:B12"/>
    <mergeCell ref="A13:B13"/>
    <mergeCell ref="A14:B14"/>
    <mergeCell ref="A15:B15"/>
    <mergeCell ref="A16:B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[Time]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X23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7.7"/>
    <col collapsed="false" customWidth="true" hidden="false" outlineLevel="0" max="3" min="3" style="0" width="17.28"/>
    <col collapsed="false" customWidth="true" hidden="false" outlineLevel="0" max="4" min="4" style="0" width="17.42"/>
    <col collapsed="false" customWidth="true" hidden="false" outlineLevel="0" max="5" min="5" style="0" width="14.99"/>
    <col collapsed="false" customWidth="true" hidden="false" outlineLevel="0" max="6" min="6" style="0" width="18.85"/>
    <col collapsed="false" customWidth="true" hidden="false" outlineLevel="0" max="7" min="7" style="0" width="19.41"/>
    <col collapsed="false" customWidth="true" hidden="false" outlineLevel="0" max="8" min="8" style="0" width="16.7"/>
    <col collapsed="false" customWidth="true" hidden="false" outlineLevel="0" max="9" min="9" style="0" width="16.56"/>
    <col collapsed="false" customWidth="true" hidden="false" outlineLevel="0" max="10" min="10" style="0" width="15.85"/>
    <col collapsed="false" customWidth="true" hidden="false" outlineLevel="0" max="11" min="11" style="0" width="13.99"/>
    <col collapsed="false" customWidth="true" hidden="false" outlineLevel="0" max="12" min="12" style="0" width="10.56"/>
    <col collapsed="false" customWidth="true" hidden="false" outlineLevel="0" max="13" min="13" style="0" width="11.42"/>
    <col collapsed="false" customWidth="true" hidden="false" outlineLevel="0" max="16" min="14" style="138" width="10.13"/>
    <col collapsed="false" customWidth="true" hidden="false" outlineLevel="0" max="17" min="17" style="138" width="9.28"/>
  </cols>
  <sheetData>
    <row r="3" customFormat="false" ht="15.75" hidden="false" customHeight="false" outlineLevel="0" collapsed="false">
      <c r="A3" s="193" t="s">
        <v>314</v>
      </c>
    </row>
    <row r="4" customFormat="false" ht="15.75" hidden="false" customHeight="false" outlineLevel="0" collapsed="false">
      <c r="A4" s="193"/>
    </row>
    <row r="5" customFormat="false" ht="15" hidden="false" customHeight="false" outlineLevel="0" collapsed="false">
      <c r="A5" s="206" t="s">
        <v>315</v>
      </c>
      <c r="B5" s="61" t="n">
        <v>36892</v>
      </c>
    </row>
    <row r="6" customFormat="false" ht="15" hidden="false" customHeight="false" outlineLevel="0" collapsed="false">
      <c r="A6" s="206" t="s">
        <v>316</v>
      </c>
      <c r="B6" s="61" t="n">
        <v>38687</v>
      </c>
    </row>
    <row r="7" customFormat="false" ht="15" hidden="false" customHeight="false" outlineLevel="0" collapsed="false">
      <c r="A7" s="206" t="s">
        <v>317</v>
      </c>
      <c r="B7" s="56" t="n">
        <f aca="false">COUNTIF(B52:B231,"&gt;0")</f>
        <v>60</v>
      </c>
    </row>
    <row r="8" customFormat="false" ht="15" hidden="false" customHeight="false" outlineLevel="0" collapsed="false">
      <c r="A8" s="206" t="s">
        <v>318</v>
      </c>
      <c r="B8" s="207" t="n">
        <v>5</v>
      </c>
    </row>
    <row r="9" customFormat="false" ht="15" hidden="false" customHeight="false" outlineLevel="0" collapsed="false">
      <c r="A9" s="206" t="s">
        <v>110</v>
      </c>
      <c r="B9" s="208" t="n">
        <v>25</v>
      </c>
    </row>
    <row r="10" customFormat="false" ht="15" hidden="false" customHeight="false" outlineLevel="0" collapsed="false">
      <c r="A10" s="206"/>
      <c r="B10" s="208"/>
    </row>
    <row r="11" customFormat="false" ht="15" hidden="false" customHeight="false" outlineLevel="0" collapsed="false">
      <c r="A11" s="206" t="s">
        <v>319</v>
      </c>
      <c r="B11" s="208"/>
    </row>
    <row r="12" customFormat="false" ht="15" hidden="false" customHeight="false" outlineLevel="0" collapsed="false">
      <c r="A12" s="206" t="s">
        <v>320</v>
      </c>
      <c r="B12" s="208" t="s">
        <v>321</v>
      </c>
      <c r="C12" s="0" t="s">
        <v>306</v>
      </c>
    </row>
    <row r="13" customFormat="false" ht="15" hidden="false" customHeight="false" outlineLevel="0" collapsed="false">
      <c r="A13" s="206" t="s">
        <v>108</v>
      </c>
      <c r="B13" s="208" t="n">
        <f aca="false">SUM(Q52:Q207)</f>
        <v>4224922.20501016</v>
      </c>
      <c r="C13" s="208" t="n">
        <f aca="false">SUM(W56:W207)</f>
        <v>1095600</v>
      </c>
    </row>
    <row r="14" customFormat="false" ht="15" hidden="false" customHeight="false" outlineLevel="0" collapsed="false">
      <c r="A14" s="206" t="s">
        <v>107</v>
      </c>
      <c r="B14" s="208" t="n">
        <f aca="false">SUM(N52:N506)</f>
        <v>2013093.96038731</v>
      </c>
      <c r="C14" s="208" t="n">
        <f aca="false">SUM(T56:T207)</f>
        <v>522000</v>
      </c>
    </row>
    <row r="15" customFormat="false" ht="15" hidden="false" customHeight="false" outlineLevel="0" collapsed="false">
      <c r="A15" s="206" t="s">
        <v>109</v>
      </c>
      <c r="B15" s="208" t="n">
        <f aca="false">SUM(O56:O207)</f>
        <v>1635638.84281469</v>
      </c>
      <c r="C15" s="208" t="n">
        <f aca="false">SUM(U56:U207)</f>
        <v>424125</v>
      </c>
    </row>
    <row r="16" customFormat="false" ht="15" hidden="false" customHeight="false" outlineLevel="0" collapsed="false">
      <c r="A16" s="206" t="s">
        <v>132</v>
      </c>
      <c r="B16" s="208" t="n">
        <f aca="false">SUM(P56:P207)</f>
        <v>1205281.2644292</v>
      </c>
      <c r="C16" s="208" t="n">
        <f aca="false">SUM(V56:V207)</f>
        <v>312600</v>
      </c>
    </row>
    <row r="17" customFormat="false" ht="15" hidden="false" customHeight="false" outlineLevel="0" collapsed="false">
      <c r="A17" s="206" t="s">
        <v>322</v>
      </c>
      <c r="B17" s="208" t="n">
        <f aca="false">SUM(R56:R207)</f>
        <v>1006546.98019365</v>
      </c>
      <c r="C17" s="208" t="n">
        <f aca="false">SUM(X56:X207)</f>
        <v>261000</v>
      </c>
    </row>
    <row r="18" customFormat="false" ht="15" hidden="false" customHeight="false" outlineLevel="0" collapsed="false">
      <c r="A18" s="206"/>
      <c r="B18" s="208"/>
      <c r="K18" s="139"/>
    </row>
    <row r="19" customFormat="false" ht="15.75" hidden="false" customHeight="false" outlineLevel="0" collapsed="false">
      <c r="A19" s="193"/>
    </row>
    <row r="20" customFormat="false" ht="15.75" hidden="false" customHeight="false" outlineLevel="0" collapsed="false">
      <c r="A20" s="193"/>
      <c r="B20" s="45" t="s">
        <v>133</v>
      </c>
      <c r="C20" s="45" t="s">
        <v>132</v>
      </c>
      <c r="D20" s="45" t="s">
        <v>107</v>
      </c>
      <c r="E20" s="45" t="s">
        <v>108</v>
      </c>
      <c r="F20" s="0" t="s">
        <v>323</v>
      </c>
      <c r="G20" s="0" t="s">
        <v>266</v>
      </c>
      <c r="H20" s="0" t="s">
        <v>267</v>
      </c>
      <c r="I20" s="0" t="s">
        <v>42</v>
      </c>
      <c r="J20" s="0" t="s">
        <v>324</v>
      </c>
      <c r="K20" s="0" t="s">
        <v>325</v>
      </c>
    </row>
    <row r="21" customFormat="false" ht="15.75" hidden="false" customHeight="false" outlineLevel="0" collapsed="false">
      <c r="A21" s="193"/>
      <c r="B21" s="45" t="s">
        <v>48</v>
      </c>
      <c r="C21" s="45" t="s">
        <v>81</v>
      </c>
      <c r="D21" s="45" t="s">
        <v>268</v>
      </c>
      <c r="G21" s="0" t="s">
        <v>326</v>
      </c>
    </row>
    <row r="22" customFormat="false" ht="15" hidden="false" customHeight="false" outlineLevel="0" collapsed="false">
      <c r="A22" s="206" t="s">
        <v>327</v>
      </c>
      <c r="B22" s="135" t="n">
        <f aca="false">SUM(C52:C231)/SUM($B$52:$B$231)</f>
        <v>32.3229461710893</v>
      </c>
      <c r="C22" s="135" t="n">
        <f aca="false">SUM(D52:D231)/SUM($B$52:$B$231)</f>
        <v>40.2029800528894</v>
      </c>
      <c r="D22" s="135" t="n">
        <f aca="false">SUM(E52:E231)/SUM($B$52:$B$231)</f>
        <v>60.5229806666808</v>
      </c>
      <c r="E22" s="135" t="n">
        <f aca="false">SUM(F52:F231)/SUM($B$52:$B$231)</f>
        <v>48.0156235024432</v>
      </c>
      <c r="F22" s="135" t="n">
        <f aca="false">SUM(G52:G231)/SUM($B$52:$B$231)</f>
        <v>3.81654289513359</v>
      </c>
      <c r="G22" s="135" t="n">
        <f aca="false">SUM(H52:H231)/SUM($B$52:$B$231)</f>
        <v>59.9826488812508</v>
      </c>
      <c r="H22" s="135" t="n">
        <f aca="false">SUM(I52:I231)/SUM($B$52:$B$231)</f>
        <v>48.982074882587</v>
      </c>
      <c r="I22" s="209" t="n">
        <f aca="false">SUM(J52:J231)/SUM($B$52:$B$231)</f>
        <v>1.43701533625531</v>
      </c>
      <c r="J22" s="139" t="n">
        <f aca="false">G22/I22</f>
        <v>41.7411334228057</v>
      </c>
      <c r="K22" s="139" t="n">
        <f aca="false">H22/I22</f>
        <v>34.0859792145494</v>
      </c>
    </row>
    <row r="23" customFormat="false" ht="15" hidden="false" customHeight="false" outlineLevel="0" collapsed="false">
      <c r="A23" s="206"/>
      <c r="B23" s="135"/>
      <c r="C23" s="135"/>
      <c r="D23" s="135"/>
      <c r="E23" s="135"/>
      <c r="F23" s="135"/>
      <c r="G23" s="135"/>
      <c r="H23" s="135"/>
    </row>
    <row r="24" customFormat="false" ht="15" hidden="false" customHeight="false" outlineLevel="0" collapsed="false">
      <c r="A24" s="206" t="s">
        <v>328</v>
      </c>
      <c r="B24" s="135" t="n">
        <f aca="false">B22-$B$8/2</f>
        <v>29.8229461710893</v>
      </c>
      <c r="C24" s="135" t="n">
        <f aca="false">C22-$B$8/2</f>
        <v>37.7029800528894</v>
      </c>
      <c r="D24" s="135" t="n">
        <f aca="false">D22-$B$8/2</f>
        <v>58.0229806666808</v>
      </c>
      <c r="E24" s="135" t="n">
        <f aca="false">E22-$B$8/2</f>
        <v>45.5156235024432</v>
      </c>
      <c r="F24" s="135" t="n">
        <f aca="false">F22</f>
        <v>3.81654289513359</v>
      </c>
      <c r="G24" s="135"/>
      <c r="H24" s="135"/>
    </row>
    <row r="25" customFormat="false" ht="15" hidden="false" customHeight="false" outlineLevel="0" collapsed="false">
      <c r="A25" s="206" t="s">
        <v>329</v>
      </c>
      <c r="B25" s="135" t="n">
        <f aca="false">B22+$B$8/2</f>
        <v>34.8229461710893</v>
      </c>
      <c r="C25" s="135" t="n">
        <f aca="false">C22+$B$8/2</f>
        <v>42.7029800528894</v>
      </c>
      <c r="D25" s="135" t="n">
        <f aca="false">D22+$B$8/2</f>
        <v>63.0229806666808</v>
      </c>
      <c r="E25" s="135" t="n">
        <f aca="false">E22+$B$8/2</f>
        <v>50.5156235024432</v>
      </c>
      <c r="F25" s="135"/>
      <c r="G25" s="135"/>
      <c r="H25" s="135"/>
    </row>
    <row r="27" customFormat="false" ht="12.75" hidden="false" customHeight="false" outlineLevel="0" collapsed="false">
      <c r="A27" s="0" t="s">
        <v>330</v>
      </c>
    </row>
    <row r="28" customFormat="false" ht="12.75" hidden="false" customHeight="false" outlineLevel="0" collapsed="false">
      <c r="B28" s="45" t="s">
        <v>225</v>
      </c>
      <c r="C28" s="45" t="s">
        <v>226</v>
      </c>
      <c r="D28" s="45" t="s">
        <v>227</v>
      </c>
    </row>
    <row r="29" customFormat="false" ht="12.75" hidden="false" customHeight="false" outlineLevel="0" collapsed="false">
      <c r="A29" s="0" t="s">
        <v>47</v>
      </c>
      <c r="B29" s="210" t="n">
        <f aca="false">D24/F22</f>
        <v>15.2030207077366</v>
      </c>
      <c r="C29" s="210" t="n">
        <f aca="false">D22/F22</f>
        <v>15.8580637843355</v>
      </c>
      <c r="D29" s="210" t="n">
        <f aca="false">D25/F22</f>
        <v>16.5131068609344</v>
      </c>
    </row>
    <row r="30" customFormat="false" ht="12.75" hidden="false" customHeight="false" outlineLevel="0" collapsed="false">
      <c r="A30" s="0" t="s">
        <v>331</v>
      </c>
      <c r="B30" s="210" t="n">
        <f aca="false">E24/F22</f>
        <v>11.9258776209431</v>
      </c>
      <c r="C30" s="210" t="n">
        <f aca="false">E22/F22</f>
        <v>12.580920697542</v>
      </c>
      <c r="D30" s="210" t="n">
        <f aca="false">E25/F22</f>
        <v>13.235963774141</v>
      </c>
    </row>
    <row r="32" customFormat="false" ht="12.75" hidden="false" customHeight="false" outlineLevel="0" collapsed="false">
      <c r="A32" s="0" t="s">
        <v>332</v>
      </c>
    </row>
    <row r="33" customFormat="false" ht="12.75" hidden="false" customHeight="false" outlineLevel="0" collapsed="false">
      <c r="B33" s="45" t="s">
        <v>225</v>
      </c>
      <c r="C33" s="45" t="s">
        <v>226</v>
      </c>
      <c r="D33" s="45" t="s">
        <v>227</v>
      </c>
    </row>
    <row r="34" customFormat="false" ht="12.75" hidden="false" customHeight="false" outlineLevel="0" collapsed="false">
      <c r="A34" s="0" t="s">
        <v>47</v>
      </c>
      <c r="B34" s="135" t="n">
        <f aca="false">D24-G22</f>
        <v>-1.95966821457005</v>
      </c>
      <c r="C34" s="135" t="n">
        <f aca="false">D22-G22</f>
        <v>0.540331785429949</v>
      </c>
      <c r="D34" s="135" t="n">
        <f aca="false">D25-G22</f>
        <v>3.04033178542995</v>
      </c>
    </row>
    <row r="35" customFormat="false" ht="12.75" hidden="false" customHeight="false" outlineLevel="0" collapsed="false">
      <c r="A35" s="0" t="s">
        <v>310</v>
      </c>
      <c r="B35" s="135" t="n">
        <f aca="false">E24-H22</f>
        <v>-3.46645138014384</v>
      </c>
      <c r="C35" s="135" t="n">
        <f aca="false">E22-H22</f>
        <v>-0.966451380143845</v>
      </c>
      <c r="D35" s="135" t="n">
        <f aca="false">E25-H22</f>
        <v>1.53354861985616</v>
      </c>
    </row>
    <row r="37" customFormat="false" ht="12.75" hidden="false" customHeight="false" outlineLevel="0" collapsed="false">
      <c r="A37" s="0" t="s">
        <v>333</v>
      </c>
      <c r="B37" s="0" t="s">
        <v>180</v>
      </c>
    </row>
    <row r="39" customFormat="false" ht="12.75" hidden="false" customHeight="false" outlineLevel="0" collapsed="false">
      <c r="A39" s="0" t="s">
        <v>334</v>
      </c>
      <c r="B39" s="0" t="n">
        <v>46.5</v>
      </c>
    </row>
    <row r="40" customFormat="false" ht="12.75" hidden="false" customHeight="false" outlineLevel="0" collapsed="false">
      <c r="A40" s="0" t="s">
        <v>335</v>
      </c>
      <c r="B40" s="0" t="n">
        <v>46.5</v>
      </c>
    </row>
    <row r="41" customFormat="false" ht="12.75" hidden="false" customHeight="false" outlineLevel="0" collapsed="false">
      <c r="A41" s="0" t="s">
        <v>336</v>
      </c>
      <c r="B41" s="0" t="n">
        <v>45.25</v>
      </c>
    </row>
    <row r="42" customFormat="false" ht="12.75" hidden="false" customHeight="false" outlineLevel="0" collapsed="false">
      <c r="A42" s="0" t="s">
        <v>337</v>
      </c>
      <c r="B42" s="0" t="n">
        <v>50</v>
      </c>
    </row>
    <row r="43" customFormat="false" ht="12.75" hidden="false" customHeight="false" outlineLevel="0" collapsed="false">
      <c r="A43" s="0" t="s">
        <v>338</v>
      </c>
      <c r="B43" s="0" t="n">
        <v>49.75</v>
      </c>
    </row>
    <row r="44" customFormat="false" ht="12.75" hidden="false" customHeight="false" outlineLevel="0" collapsed="false">
      <c r="A44" s="0" t="s">
        <v>339</v>
      </c>
      <c r="B44" s="0" t="n">
        <v>56.88</v>
      </c>
    </row>
    <row r="45" customFormat="false" ht="12.75" hidden="false" customHeight="false" outlineLevel="0" collapsed="false">
      <c r="A45" s="0" t="s">
        <v>340</v>
      </c>
      <c r="B45" s="0" t="n">
        <v>52.52</v>
      </c>
    </row>
    <row r="46" customFormat="false" ht="12.75" hidden="false" customHeight="false" outlineLevel="0" collapsed="false">
      <c r="A46" s="0" t="s">
        <v>341</v>
      </c>
      <c r="B46" s="0" t="n">
        <v>51.64</v>
      </c>
    </row>
    <row r="49" customFormat="false" ht="12.75" hidden="false" customHeight="true" outlineLevel="0" collapsed="false">
      <c r="L49" s="0" t="s">
        <v>68</v>
      </c>
      <c r="N49" s="211" t="s">
        <v>342</v>
      </c>
      <c r="O49" s="211"/>
      <c r="P49" s="211"/>
      <c r="Q49" s="211"/>
      <c r="R49" s="211"/>
      <c r="T49" s="0" t="s">
        <v>343</v>
      </c>
    </row>
    <row r="50" customFormat="false" ht="12.75" hidden="false" customHeight="false" outlineLevel="0" collapsed="false">
      <c r="A50" s="0" t="s">
        <v>86</v>
      </c>
      <c r="B50" s="0" t="s">
        <v>44</v>
      </c>
      <c r="C50" s="45" t="s">
        <v>133</v>
      </c>
      <c r="D50" s="45" t="s">
        <v>132</v>
      </c>
      <c r="E50" s="45" t="s">
        <v>107</v>
      </c>
      <c r="F50" s="45" t="s">
        <v>108</v>
      </c>
      <c r="G50" s="0" t="s">
        <v>323</v>
      </c>
      <c r="H50" s="0" t="s">
        <v>266</v>
      </c>
      <c r="I50" s="0" t="s">
        <v>267</v>
      </c>
      <c r="J50" s="0" t="s">
        <v>42</v>
      </c>
      <c r="K50" s="0" t="s">
        <v>110</v>
      </c>
      <c r="L50" s="0" t="s">
        <v>344</v>
      </c>
      <c r="M50" s="0" t="s">
        <v>345</v>
      </c>
      <c r="N50" s="138" t="s">
        <v>107</v>
      </c>
      <c r="O50" s="138" t="s">
        <v>109</v>
      </c>
      <c r="P50" s="138" t="s">
        <v>132</v>
      </c>
      <c r="Q50" s="138" t="s">
        <v>108</v>
      </c>
      <c r="R50" s="0" t="s">
        <v>133</v>
      </c>
      <c r="T50" s="138" t="s">
        <v>107</v>
      </c>
      <c r="U50" s="138" t="s">
        <v>109</v>
      </c>
      <c r="V50" s="138" t="s">
        <v>132</v>
      </c>
      <c r="W50" s="138" t="s">
        <v>108</v>
      </c>
      <c r="X50" s="0" t="s">
        <v>133</v>
      </c>
    </row>
    <row r="51" customFormat="false" ht="12.75" hidden="false" customHeight="false" outlineLevel="0" collapsed="false">
      <c r="C51" s="45" t="s">
        <v>48</v>
      </c>
      <c r="D51" s="45" t="s">
        <v>81</v>
      </c>
      <c r="E51" s="45" t="s">
        <v>268</v>
      </c>
    </row>
    <row r="52" customFormat="false" ht="12.75" hidden="false" customHeight="false" outlineLevel="0" collapsed="false">
      <c r="A52" s="61" t="n">
        <f aca="false">Fwd_curves!A82</f>
        <v>36526</v>
      </c>
      <c r="B52" s="0" t="n">
        <f aca="false">IF($A52&lt;$B$5,0,IF($A52&gt;$B$6,0,Fwd_curves!H82))</f>
        <v>0</v>
      </c>
      <c r="C52" s="0" t="n">
        <f aca="false">IF($A52&lt;$B$5,0,IF($A52&gt;$B$6,0,Fwd_curves!J82))</f>
        <v>0</v>
      </c>
      <c r="D52" s="0" t="n">
        <f aca="false">IF($A52&lt;$B$5,0,IF($A52&gt;$B$6,0,Fwd_curves!K82))</f>
        <v>0</v>
      </c>
      <c r="E52" s="0" t="n">
        <f aca="false">IF($A52&lt;$B$5,0,IF($A52&gt;$B$6,0,Fwd_curves!L82))</f>
        <v>0</v>
      </c>
      <c r="F52" s="0" t="n">
        <f aca="false">IF($A52&lt;$B$5,0,IF($A52&gt;$B$6,0,Fwd_curves!M82))</f>
        <v>0</v>
      </c>
      <c r="G52" s="0" t="n">
        <f aca="false">IF($A52&lt;$B$5,0,IF($A52&gt;$B$6,0,Fwd_curves!N82))</f>
        <v>0</v>
      </c>
      <c r="H52" s="54" t="n">
        <f aca="false">IF($A52&lt;$B$5,0,IF($A52&gt;$B$6,0,Fwd_curves!O82))</f>
        <v>0</v>
      </c>
      <c r="I52" s="54" t="n">
        <f aca="false">IF($A52&lt;$B$5,0,IF($A52&gt;$B$6,0,Fwd_curves!P82))</f>
        <v>0</v>
      </c>
      <c r="J52" s="0" t="n">
        <f aca="false">IF($A52&lt;$B$5,0,IF($A52&gt;$B$6,0,Fwd_curves!Q82))</f>
        <v>0</v>
      </c>
      <c r="K52" s="0" t="n">
        <f aca="false">IF(B52=0,0,$B$9*B52)</f>
        <v>0</v>
      </c>
      <c r="L52" s="56"/>
    </row>
    <row r="53" customFormat="false" ht="12.75" hidden="false" customHeight="false" outlineLevel="0" collapsed="false">
      <c r="A53" s="61" t="n">
        <f aca="false">Fwd_curves!A83</f>
        <v>36557</v>
      </c>
      <c r="B53" s="0" t="n">
        <f aca="false">IF($A53&lt;$B$5,0,IF($A53&gt;$B$6,0,Fwd_curves!H83))</f>
        <v>0</v>
      </c>
      <c r="C53" s="0" t="n">
        <f aca="false">IF($A53&lt;$B$5,0,IF($A53&gt;$B$6,0,Fwd_curves!J83))</f>
        <v>0</v>
      </c>
      <c r="D53" s="0" t="n">
        <f aca="false">IF($A53&lt;$B$5,0,IF($A53&gt;$B$6,0,Fwd_curves!K83))</f>
        <v>0</v>
      </c>
      <c r="E53" s="0" t="n">
        <f aca="false">IF($A53&lt;$B$5,0,IF($A53&gt;$B$6,0,Fwd_curves!L83))</f>
        <v>0</v>
      </c>
      <c r="F53" s="0" t="n">
        <f aca="false">IF($A53&lt;$B$5,0,IF($A53&gt;$B$6,0,Fwd_curves!M83))</f>
        <v>0</v>
      </c>
      <c r="G53" s="0" t="n">
        <f aca="false">IF($A53&lt;$B$5,0,IF($A53&gt;$B$6,0,Fwd_curves!N83))</f>
        <v>0</v>
      </c>
      <c r="H53" s="54" t="n">
        <f aca="false">IF($A53&lt;$B$5,0,IF($A53&gt;$B$6,0,Fwd_curves!O83))</f>
        <v>0</v>
      </c>
      <c r="I53" s="54" t="n">
        <f aca="false">IF($A53&lt;$B$5,0,IF($A53&gt;$B$6,0,Fwd_curves!P83))</f>
        <v>0</v>
      </c>
      <c r="J53" s="0" t="n">
        <f aca="false">IF($A53&lt;$B$5,0,IF($A53&gt;$B$6,0,Fwd_curves!Q83))</f>
        <v>0</v>
      </c>
      <c r="K53" s="0" t="n">
        <f aca="false">IF(B53=0,0,$B$9*B53)</f>
        <v>0</v>
      </c>
    </row>
    <row r="54" customFormat="false" ht="12.75" hidden="false" customHeight="false" outlineLevel="0" collapsed="false">
      <c r="A54" s="61" t="n">
        <f aca="false">Fwd_curves!A84</f>
        <v>36586</v>
      </c>
      <c r="B54" s="0" t="n">
        <f aca="false">IF($A54&lt;$B$5,0,IF($A54&gt;$B$6,0,Fwd_curves!H84))</f>
        <v>0</v>
      </c>
      <c r="C54" s="0" t="n">
        <f aca="false">IF($A54&lt;$B$5,0,IF($A54&gt;$B$6,0,Fwd_curves!J84))</f>
        <v>0</v>
      </c>
      <c r="D54" s="0" t="n">
        <f aca="false">IF($A54&lt;$B$5,0,IF($A54&gt;$B$6,0,Fwd_curves!K84))</f>
        <v>0</v>
      </c>
      <c r="E54" s="0" t="n">
        <f aca="false">IF($A54&lt;$B$5,0,IF($A54&gt;$B$6,0,Fwd_curves!L84))</f>
        <v>0</v>
      </c>
      <c r="F54" s="0" t="n">
        <f aca="false">IF($A54&lt;$B$5,0,IF($A54&gt;$B$6,0,Fwd_curves!M84))</f>
        <v>0</v>
      </c>
      <c r="G54" s="0" t="n">
        <f aca="false">IF($A54&lt;$B$5,0,IF($A54&gt;$B$6,0,Fwd_curves!N84))</f>
        <v>0</v>
      </c>
      <c r="H54" s="54" t="n">
        <f aca="false">IF($A54&lt;$B$5,0,IF($A54&gt;$B$6,0,Fwd_curves!O84))</f>
        <v>0</v>
      </c>
      <c r="I54" s="54" t="n">
        <f aca="false">IF($A54&lt;$B$5,0,IF($A54&gt;$B$6,0,Fwd_curves!P84))</f>
        <v>0</v>
      </c>
      <c r="J54" s="0" t="n">
        <f aca="false">IF($A54&lt;$B$5,0,IF($A54&gt;$B$6,0,Fwd_curves!Q84))</f>
        <v>0</v>
      </c>
      <c r="K54" s="0" t="n">
        <f aca="false">IF(B54=0,0,$B$9*B54)</f>
        <v>0</v>
      </c>
    </row>
    <row r="55" customFormat="false" ht="12.75" hidden="false" customHeight="false" outlineLevel="0" collapsed="false">
      <c r="A55" s="61" t="n">
        <f aca="false">Fwd_curves!A85</f>
        <v>36617</v>
      </c>
      <c r="B55" s="0" t="n">
        <f aca="false">IF($A55&lt;$B$5,0,IF($A55&gt;$B$6,0,Fwd_curves!H85))</f>
        <v>0</v>
      </c>
      <c r="C55" s="0" t="n">
        <f aca="false">IF($A55&lt;$B$5,0,IF($A55&gt;$B$6,0,Fwd_curves!J85))</f>
        <v>0</v>
      </c>
      <c r="D55" s="0" t="n">
        <f aca="false">IF($A55&lt;$B$5,0,IF($A55&gt;$B$6,0,Fwd_curves!K85))</f>
        <v>0</v>
      </c>
      <c r="E55" s="0" t="n">
        <f aca="false">IF($A55&lt;$B$5,0,IF($A55&gt;$B$6,0,Fwd_curves!L85))</f>
        <v>0</v>
      </c>
      <c r="F55" s="0" t="n">
        <f aca="false">IF($A55&lt;$B$5,0,IF($A55&gt;$B$6,0,Fwd_curves!M85))</f>
        <v>0</v>
      </c>
      <c r="G55" s="0" t="n">
        <f aca="false">IF($A55&lt;$B$5,0,IF($A55&gt;$B$6,0,Fwd_curves!N85))</f>
        <v>0</v>
      </c>
      <c r="H55" s="54" t="n">
        <f aca="false">IF($A55&lt;$B$5,0,IF($A55&gt;$B$6,0,Fwd_curves!O85))</f>
        <v>0</v>
      </c>
      <c r="I55" s="54" t="n">
        <f aca="false">IF($A55&lt;$B$5,0,IF($A55&gt;$B$6,0,Fwd_curves!P85))</f>
        <v>0</v>
      </c>
      <c r="J55" s="0" t="n">
        <f aca="false">IF($A55&lt;$B$5,0,IF($A55&gt;$B$6,0,Fwd_curves!Q85))</f>
        <v>0</v>
      </c>
      <c r="K55" s="0" t="n">
        <f aca="false">IF(B55=0,0,$B$9*B55)</f>
        <v>0</v>
      </c>
    </row>
    <row r="56" customFormat="false" ht="12.75" hidden="false" customHeight="false" outlineLevel="0" collapsed="false">
      <c r="A56" s="61" t="n">
        <f aca="false">Fwd_curves!A86</f>
        <v>36647</v>
      </c>
      <c r="B56" s="0" t="n">
        <f aca="false">IF($A56&lt;$B$5,0,IF($A56&gt;$B$6,0,Fwd_curves!H86))</f>
        <v>0</v>
      </c>
      <c r="C56" s="0" t="n">
        <f aca="false">IF($A56&lt;$B$5,0,IF($A56&gt;$B$6,0,Fwd_curves!J86))</f>
        <v>0</v>
      </c>
      <c r="D56" s="0" t="n">
        <f aca="false">IF($A56&lt;$B$5,0,IF($A56&gt;$B$6,0,Fwd_curves!K86))</f>
        <v>0</v>
      </c>
      <c r="E56" s="0" t="n">
        <f aca="false">IF($A56&lt;$B$5,0,IF($A56&gt;$B$6,0,Fwd_curves!L86))</f>
        <v>0</v>
      </c>
      <c r="F56" s="0" t="n">
        <f aca="false">IF($A56&lt;$B$5,0,IF($A56&gt;$B$6,0,Fwd_curves!M86))</f>
        <v>0</v>
      </c>
      <c r="G56" s="0" t="n">
        <f aca="false">IF($A56&lt;$B$5,0,IF($A56&gt;$B$6,0,Fwd_curves!N86))</f>
        <v>0</v>
      </c>
      <c r="H56" s="54" t="n">
        <f aca="false">IF($A56&lt;$B$5,0,IF($A56&gt;$B$6,0,Fwd_curves!O86))</f>
        <v>0</v>
      </c>
      <c r="I56" s="54" t="n">
        <f aca="false">IF($A56&lt;$B$5,0,IF($A56&gt;$B$6,0,Fwd_curves!P86))</f>
        <v>0</v>
      </c>
      <c r="J56" s="0" t="n">
        <f aca="false">IF($A56&lt;$B$5,0,IF($A56&gt;$B$6,0,Fwd_curves!Q86))</f>
        <v>0</v>
      </c>
      <c r="K56" s="0" t="n">
        <f aca="false">IF(B56=0,0,$B$9*B56)</f>
        <v>0</v>
      </c>
      <c r="L56" s="56" t="n">
        <f aca="false">external_curves!AB16</f>
        <v>-9256</v>
      </c>
      <c r="M56" s="56" t="n">
        <f aca="false">external_curves!AA16</f>
        <v>8</v>
      </c>
      <c r="N56" s="138" t="n">
        <f aca="false">(L56*16*$K56)</f>
        <v>-0</v>
      </c>
      <c r="O56" s="138" t="n">
        <f aca="false">(L56*13*$K56)</f>
        <v>-0</v>
      </c>
      <c r="P56" s="138" t="n">
        <f aca="false">(M56*24*$K56)</f>
        <v>0</v>
      </c>
      <c r="Q56" s="138" t="n">
        <f aca="false">((L56+M56)*K56)*24</f>
        <v>-0</v>
      </c>
      <c r="R56" s="0" t="n">
        <f aca="false">L56*8*K56</f>
        <v>-0</v>
      </c>
      <c r="T56" s="0" t="n">
        <f aca="false">IF(N56=0,0,$L56*16)*$B$9</f>
        <v>0</v>
      </c>
      <c r="U56" s="0" t="n">
        <f aca="false">IF(O56=0,0,$L56*13)*$B$9</f>
        <v>0</v>
      </c>
      <c r="V56" s="0" t="n">
        <f aca="false">IF(P56=0,0,$M56*24)*$B$9</f>
        <v>0</v>
      </c>
      <c r="W56" s="0" t="n">
        <f aca="false">IF(Q56=0,0,($L56+$M56)*24)*$B$9</f>
        <v>0</v>
      </c>
      <c r="X56" s="0" t="n">
        <f aca="false">IF(R56=0,0,$L56*8)*$B$9</f>
        <v>0</v>
      </c>
    </row>
    <row r="57" customFormat="false" ht="12.75" hidden="false" customHeight="false" outlineLevel="0" collapsed="false">
      <c r="A57" s="61" t="n">
        <f aca="false">Fwd_curves!A87</f>
        <v>36678</v>
      </c>
      <c r="B57" s="0" t="n">
        <f aca="false">IF($A57&lt;$B$5,0,IF($A57&gt;$B$6,0,Fwd_curves!H87))</f>
        <v>0</v>
      </c>
      <c r="C57" s="0" t="n">
        <f aca="false">IF($A57&lt;$B$5,0,IF($A57&gt;$B$6,0,Fwd_curves!J87))</f>
        <v>0</v>
      </c>
      <c r="D57" s="0" t="n">
        <f aca="false">IF($A57&lt;$B$5,0,IF($A57&gt;$B$6,0,Fwd_curves!K87))</f>
        <v>0</v>
      </c>
      <c r="E57" s="0" t="n">
        <f aca="false">IF($A57&lt;$B$5,0,IF($A57&gt;$B$6,0,Fwd_curves!L87))</f>
        <v>0</v>
      </c>
      <c r="F57" s="0" t="n">
        <f aca="false">IF($A57&lt;$B$5,0,IF($A57&gt;$B$6,0,Fwd_curves!M87))</f>
        <v>0</v>
      </c>
      <c r="G57" s="0" t="n">
        <f aca="false">IF($A57&lt;$B$5,0,IF($A57&gt;$B$6,0,Fwd_curves!N87))</f>
        <v>0</v>
      </c>
      <c r="H57" s="54" t="n">
        <f aca="false">IF($A57&lt;$B$5,0,IF($A57&gt;$B$6,0,Fwd_curves!O87))</f>
        <v>0</v>
      </c>
      <c r="I57" s="54" t="n">
        <f aca="false">IF($A57&lt;$B$5,0,IF($A57&gt;$B$6,0,Fwd_curves!P87))</f>
        <v>0</v>
      </c>
      <c r="J57" s="0" t="n">
        <f aca="false">IF($A57&lt;$B$5,0,IF($A57&gt;$B$6,0,Fwd_curves!Q87))</f>
        <v>0</v>
      </c>
      <c r="K57" s="0" t="n">
        <f aca="false">IF(B57=0,0,$B$9*B57)</f>
        <v>0</v>
      </c>
      <c r="L57" s="56" t="n">
        <f aca="false">external_curves!AB17</f>
        <v>22</v>
      </c>
      <c r="M57" s="56" t="n">
        <f aca="false">external_curves!AA17</f>
        <v>8</v>
      </c>
      <c r="N57" s="138" t="n">
        <f aca="false">(L57*16*$K57)</f>
        <v>0</v>
      </c>
      <c r="O57" s="138" t="n">
        <f aca="false">(L57*13*$K57)</f>
        <v>0</v>
      </c>
      <c r="P57" s="138" t="n">
        <f aca="false">(M57*24*$K57)</f>
        <v>0</v>
      </c>
      <c r="Q57" s="138" t="n">
        <f aca="false">((L57+M57)*K57)*24</f>
        <v>0</v>
      </c>
      <c r="R57" s="0" t="n">
        <f aca="false">L57*8*K57</f>
        <v>0</v>
      </c>
      <c r="T57" s="0" t="n">
        <f aca="false">IF(N57=0,0,$L57*16)*$B$9</f>
        <v>0</v>
      </c>
      <c r="U57" s="0" t="n">
        <f aca="false">IF(O57=0,0,$L57*13)*$B$9</f>
        <v>0</v>
      </c>
      <c r="V57" s="0" t="n">
        <f aca="false">IF(P57=0,0,$M57*24)*$B$9</f>
        <v>0</v>
      </c>
      <c r="W57" s="0" t="n">
        <f aca="false">IF(Q57=0,0,($L57+$M57)*24)*$B$9</f>
        <v>0</v>
      </c>
      <c r="X57" s="0" t="n">
        <f aca="false">IF(R57=0,0,$L57*8)*$B$9</f>
        <v>0</v>
      </c>
    </row>
    <row r="58" customFormat="false" ht="12.75" hidden="false" customHeight="false" outlineLevel="0" collapsed="false">
      <c r="A58" s="61" t="n">
        <f aca="false">Fwd_curves!A88</f>
        <v>36708</v>
      </c>
      <c r="B58" s="0" t="n">
        <f aca="false">IF($A58&lt;$B$5,0,IF($A58&gt;$B$6,0,Fwd_curves!H88))</f>
        <v>0</v>
      </c>
      <c r="C58" s="0" t="n">
        <f aca="false">IF($A58&lt;$B$5,0,IF($A58&gt;$B$6,0,Fwd_curves!J88))</f>
        <v>0</v>
      </c>
      <c r="D58" s="0" t="n">
        <f aca="false">IF($A58&lt;$B$5,0,IF($A58&gt;$B$6,0,Fwd_curves!K88))</f>
        <v>0</v>
      </c>
      <c r="E58" s="0" t="n">
        <f aca="false">IF($A58&lt;$B$5,0,IF($A58&gt;$B$6,0,Fwd_curves!L88))</f>
        <v>0</v>
      </c>
      <c r="F58" s="0" t="n">
        <f aca="false">IF($A58&lt;$B$5,0,IF($A58&gt;$B$6,0,Fwd_curves!M88))</f>
        <v>0</v>
      </c>
      <c r="G58" s="0" t="n">
        <f aca="false">IF($A58&lt;$B$5,0,IF($A58&gt;$B$6,0,Fwd_curves!N88))</f>
        <v>0</v>
      </c>
      <c r="H58" s="54" t="n">
        <f aca="false">IF($A58&lt;$B$5,0,IF($A58&gt;$B$6,0,Fwd_curves!O88))</f>
        <v>0</v>
      </c>
      <c r="I58" s="54" t="n">
        <f aca="false">IF($A58&lt;$B$5,0,IF($A58&gt;$B$6,0,Fwd_curves!P88))</f>
        <v>0</v>
      </c>
      <c r="J58" s="0" t="n">
        <f aca="false">IF($A58&lt;$B$5,0,IF($A58&gt;$B$6,0,Fwd_curves!Q88))</f>
        <v>0</v>
      </c>
      <c r="K58" s="0" t="n">
        <f aca="false">IF(B58=0,0,$B$9*B58)</f>
        <v>0</v>
      </c>
      <c r="L58" s="56" t="n">
        <f aca="false">external_curves!AB18</f>
        <v>21</v>
      </c>
      <c r="M58" s="56" t="n">
        <f aca="false">external_curves!AA18</f>
        <v>10</v>
      </c>
      <c r="N58" s="138" t="n">
        <f aca="false">(L58*16*$K58)</f>
        <v>0</v>
      </c>
      <c r="O58" s="138" t="n">
        <f aca="false">(L58*13*$K58)</f>
        <v>0</v>
      </c>
      <c r="P58" s="138" t="n">
        <f aca="false">(M58*24*$K58)</f>
        <v>0</v>
      </c>
      <c r="Q58" s="138" t="n">
        <f aca="false">((L58+M58)*K58)*24</f>
        <v>0</v>
      </c>
      <c r="R58" s="0" t="n">
        <f aca="false">L58*8*K58</f>
        <v>0</v>
      </c>
      <c r="T58" s="0" t="n">
        <f aca="false">IF(N58=0,0,$L58*16)*$B$9</f>
        <v>0</v>
      </c>
      <c r="U58" s="0" t="n">
        <f aca="false">IF(O58=0,0,$L58*13)*$B$9</f>
        <v>0</v>
      </c>
      <c r="V58" s="0" t="n">
        <f aca="false">IF(P58=0,0,$M58*24)*$B$9</f>
        <v>0</v>
      </c>
      <c r="W58" s="0" t="n">
        <f aca="false">IF(Q58=0,0,($L58+$M58)*24)*$B$9</f>
        <v>0</v>
      </c>
      <c r="X58" s="0" t="n">
        <f aca="false">IF(R58=0,0,$L58*8)*$B$9</f>
        <v>0</v>
      </c>
    </row>
    <row r="59" customFormat="false" ht="12.75" hidden="false" customHeight="false" outlineLevel="0" collapsed="false">
      <c r="A59" s="61" t="n">
        <f aca="false">Fwd_curves!A89</f>
        <v>36739</v>
      </c>
      <c r="B59" s="0" t="n">
        <f aca="false">IF($A59&lt;$B$5,0,IF($A59&gt;$B$6,0,Fwd_curves!H89))</f>
        <v>0</v>
      </c>
      <c r="C59" s="0" t="n">
        <f aca="false">IF($A59&lt;$B$5,0,IF($A59&gt;$B$6,0,Fwd_curves!J89))</f>
        <v>0</v>
      </c>
      <c r="D59" s="0" t="n">
        <f aca="false">IF($A59&lt;$B$5,0,IF($A59&gt;$B$6,0,Fwd_curves!K89))</f>
        <v>0</v>
      </c>
      <c r="E59" s="0" t="n">
        <f aca="false">IF($A59&lt;$B$5,0,IF($A59&gt;$B$6,0,Fwd_curves!L89))</f>
        <v>0</v>
      </c>
      <c r="F59" s="0" t="n">
        <f aca="false">IF($A59&lt;$B$5,0,IF($A59&gt;$B$6,0,Fwd_curves!M89))</f>
        <v>0</v>
      </c>
      <c r="G59" s="0" t="n">
        <f aca="false">IF($A59&lt;$B$5,0,IF($A59&gt;$B$6,0,Fwd_curves!N89))</f>
        <v>0</v>
      </c>
      <c r="H59" s="54" t="n">
        <f aca="false">IF($A59&lt;$B$5,0,IF($A59&gt;$B$6,0,Fwd_curves!O89))</f>
        <v>0</v>
      </c>
      <c r="I59" s="54" t="n">
        <f aca="false">IF($A59&lt;$B$5,0,IF($A59&gt;$B$6,0,Fwd_curves!P89))</f>
        <v>0</v>
      </c>
      <c r="J59" s="0" t="n">
        <f aca="false">IF($A59&lt;$B$5,0,IF($A59&gt;$B$6,0,Fwd_curves!Q89))</f>
        <v>0</v>
      </c>
      <c r="K59" s="0" t="n">
        <f aca="false">IF(B59=0,0,$B$9*B59)</f>
        <v>0</v>
      </c>
      <c r="L59" s="56" t="n">
        <f aca="false">external_curves!AB19</f>
        <v>23</v>
      </c>
      <c r="M59" s="56" t="n">
        <f aca="false">external_curves!AA19</f>
        <v>8</v>
      </c>
      <c r="N59" s="138" t="n">
        <f aca="false">(L59*16*$K59)</f>
        <v>0</v>
      </c>
      <c r="O59" s="138" t="n">
        <f aca="false">(L59*13*$K59)</f>
        <v>0</v>
      </c>
      <c r="P59" s="138" t="n">
        <f aca="false">(M59*24*$K59)</f>
        <v>0</v>
      </c>
      <c r="Q59" s="138" t="n">
        <f aca="false">((L59+M59)*K59)*24</f>
        <v>0</v>
      </c>
      <c r="R59" s="0" t="n">
        <f aca="false">L59*8*K59</f>
        <v>0</v>
      </c>
      <c r="T59" s="0" t="n">
        <f aca="false">IF(N59=0,0,$L59*16)*$B$9</f>
        <v>0</v>
      </c>
      <c r="U59" s="0" t="n">
        <f aca="false">IF(O59=0,0,$L59*13)*$B$9</f>
        <v>0</v>
      </c>
      <c r="V59" s="0" t="n">
        <f aca="false">IF(P59=0,0,$M59*24)*$B$9</f>
        <v>0</v>
      </c>
      <c r="W59" s="0" t="n">
        <f aca="false">IF(Q59=0,0,($L59+$M59)*24)*$B$9</f>
        <v>0</v>
      </c>
      <c r="X59" s="0" t="n">
        <f aca="false">IF(R59=0,0,$L59*8)*$B$9</f>
        <v>0</v>
      </c>
    </row>
    <row r="60" customFormat="false" ht="12.75" hidden="false" customHeight="false" outlineLevel="0" collapsed="false">
      <c r="A60" s="61" t="n">
        <f aca="false">Fwd_curves!A90</f>
        <v>36770</v>
      </c>
      <c r="B60" s="0" t="n">
        <f aca="false">IF($A60&lt;$B$5,0,IF($A60&gt;$B$6,0,Fwd_curves!H90))</f>
        <v>0</v>
      </c>
      <c r="C60" s="0" t="n">
        <f aca="false">IF($A60&lt;$B$5,0,IF($A60&gt;$B$6,0,Fwd_curves!J90))</f>
        <v>0</v>
      </c>
      <c r="D60" s="0" t="n">
        <f aca="false">IF($A60&lt;$B$5,0,IF($A60&gt;$B$6,0,Fwd_curves!K90))</f>
        <v>0</v>
      </c>
      <c r="E60" s="0" t="n">
        <f aca="false">IF($A60&lt;$B$5,0,IF($A60&gt;$B$6,0,Fwd_curves!L90))</f>
        <v>0</v>
      </c>
      <c r="F60" s="0" t="n">
        <f aca="false">IF($A60&lt;$B$5,0,IF($A60&gt;$B$6,0,Fwd_curves!M90))</f>
        <v>0</v>
      </c>
      <c r="G60" s="0" t="n">
        <f aca="false">IF($A60&lt;$B$5,0,IF($A60&gt;$B$6,0,Fwd_curves!N90))</f>
        <v>0</v>
      </c>
      <c r="H60" s="54" t="n">
        <f aca="false">IF($A60&lt;$B$5,0,IF($A60&gt;$B$6,0,Fwd_curves!O90))</f>
        <v>0</v>
      </c>
      <c r="I60" s="54" t="n">
        <f aca="false">IF($A60&lt;$B$5,0,IF($A60&gt;$B$6,0,Fwd_curves!P90))</f>
        <v>0</v>
      </c>
      <c r="J60" s="0" t="n">
        <f aca="false">IF($A60&lt;$B$5,0,IF($A60&gt;$B$6,0,Fwd_curves!Q90))</f>
        <v>0</v>
      </c>
      <c r="K60" s="0" t="n">
        <f aca="false">IF(B60=0,0,$B$9*B60)</f>
        <v>0</v>
      </c>
      <c r="L60" s="56" t="n">
        <f aca="false">external_curves!AB20</f>
        <v>21</v>
      </c>
      <c r="M60" s="56" t="n">
        <f aca="false">external_curves!AA20</f>
        <v>9</v>
      </c>
      <c r="N60" s="138" t="n">
        <f aca="false">(L60*16*$K60)</f>
        <v>0</v>
      </c>
      <c r="O60" s="138" t="n">
        <f aca="false">(L60*13*$K60)</f>
        <v>0</v>
      </c>
      <c r="P60" s="138" t="n">
        <f aca="false">(M60*24*$K60)</f>
        <v>0</v>
      </c>
      <c r="Q60" s="138" t="n">
        <f aca="false">((L60+M60)*K60)*24</f>
        <v>0</v>
      </c>
      <c r="R60" s="0" t="n">
        <f aca="false">L60*8*K60</f>
        <v>0</v>
      </c>
      <c r="T60" s="0" t="n">
        <f aca="false">IF(N60=0,0,$L60*16)*$B$9</f>
        <v>0</v>
      </c>
      <c r="U60" s="0" t="n">
        <f aca="false">IF(O60=0,0,$L60*13)*$B$9</f>
        <v>0</v>
      </c>
      <c r="V60" s="0" t="n">
        <f aca="false">IF(P60=0,0,$M60*24)*$B$9</f>
        <v>0</v>
      </c>
      <c r="W60" s="0" t="n">
        <f aca="false">IF(Q60=0,0,($L60+$M60)*24)*$B$9</f>
        <v>0</v>
      </c>
      <c r="X60" s="0" t="n">
        <f aca="false">IF(R60=0,0,$L60*8)*$B$9</f>
        <v>0</v>
      </c>
    </row>
    <row r="61" customFormat="false" ht="12.75" hidden="false" customHeight="false" outlineLevel="0" collapsed="false">
      <c r="A61" s="61" t="n">
        <f aca="false">Fwd_curves!A91</f>
        <v>36800</v>
      </c>
      <c r="B61" s="0" t="n">
        <f aca="false">IF($A61&lt;$B$5,0,IF($A61&gt;$B$6,0,Fwd_curves!H91))</f>
        <v>0</v>
      </c>
      <c r="C61" s="0" t="n">
        <f aca="false">IF($A61&lt;$B$5,0,IF($A61&gt;$B$6,0,Fwd_curves!J91))</f>
        <v>0</v>
      </c>
      <c r="D61" s="0" t="n">
        <f aca="false">IF($A61&lt;$B$5,0,IF($A61&gt;$B$6,0,Fwd_curves!K91))</f>
        <v>0</v>
      </c>
      <c r="E61" s="0" t="n">
        <f aca="false">IF($A61&lt;$B$5,0,IF($A61&gt;$B$6,0,Fwd_curves!L91))</f>
        <v>0</v>
      </c>
      <c r="F61" s="0" t="n">
        <f aca="false">IF($A61&lt;$B$5,0,IF($A61&gt;$B$6,0,Fwd_curves!M91))</f>
        <v>0</v>
      </c>
      <c r="G61" s="0" t="n">
        <f aca="false">IF($A61&lt;$B$5,0,IF($A61&gt;$B$6,0,Fwd_curves!N91))</f>
        <v>0</v>
      </c>
      <c r="H61" s="54" t="n">
        <f aca="false">IF($A61&lt;$B$5,0,IF($A61&gt;$B$6,0,Fwd_curves!O91))</f>
        <v>0</v>
      </c>
      <c r="I61" s="54" t="n">
        <f aca="false">IF($A61&lt;$B$5,0,IF($A61&gt;$B$6,0,Fwd_curves!P91))</f>
        <v>0</v>
      </c>
      <c r="J61" s="0" t="n">
        <f aca="false">IF($A61&lt;$B$5,0,IF($A61&gt;$B$6,0,Fwd_curves!Q91))</f>
        <v>0</v>
      </c>
      <c r="K61" s="0" t="n">
        <f aca="false">IF(B61=0,0,$B$9*B61)</f>
        <v>0</v>
      </c>
      <c r="L61" s="56" t="n">
        <f aca="false">external_curves!AB21</f>
        <v>22</v>
      </c>
      <c r="M61" s="56" t="n">
        <f aca="false">external_curves!AA21</f>
        <v>9</v>
      </c>
      <c r="N61" s="138" t="n">
        <f aca="false">(L61*16*$K61)</f>
        <v>0</v>
      </c>
      <c r="O61" s="138" t="n">
        <f aca="false">(L61*13*$K61)</f>
        <v>0</v>
      </c>
      <c r="P61" s="138" t="n">
        <f aca="false">(M61*24*$K61)</f>
        <v>0</v>
      </c>
      <c r="Q61" s="138" t="n">
        <f aca="false">((L61+M61)*K61)*24</f>
        <v>0</v>
      </c>
      <c r="R61" s="0" t="n">
        <f aca="false">L61*8*K61</f>
        <v>0</v>
      </c>
      <c r="T61" s="0" t="n">
        <f aca="false">IF(N61=0,0,$L61*16)*$B$9</f>
        <v>0</v>
      </c>
      <c r="U61" s="0" t="n">
        <f aca="false">IF(O61=0,0,$L61*13)*$B$9</f>
        <v>0</v>
      </c>
      <c r="V61" s="0" t="n">
        <f aca="false">IF(P61=0,0,$M61*24)*$B$9</f>
        <v>0</v>
      </c>
      <c r="W61" s="0" t="n">
        <f aca="false">IF(Q61=0,0,($L61+$M61)*24)*$B$9</f>
        <v>0</v>
      </c>
      <c r="X61" s="0" t="n">
        <f aca="false">IF(R61=0,0,$L61*8)*$B$9</f>
        <v>0</v>
      </c>
    </row>
    <row r="62" customFormat="false" ht="12.75" hidden="false" customHeight="false" outlineLevel="0" collapsed="false">
      <c r="A62" s="61" t="n">
        <f aca="false">Fwd_curves!A92</f>
        <v>36831</v>
      </c>
      <c r="B62" s="0" t="n">
        <f aca="false">IF($A62&lt;$B$5,0,IF($A62&gt;$B$6,0,Fwd_curves!H92))</f>
        <v>0</v>
      </c>
      <c r="C62" s="0" t="n">
        <f aca="false">IF($A62&lt;$B$5,0,IF($A62&gt;$B$6,0,Fwd_curves!J92))</f>
        <v>0</v>
      </c>
      <c r="D62" s="0" t="n">
        <f aca="false">IF($A62&lt;$B$5,0,IF($A62&gt;$B$6,0,Fwd_curves!K92))</f>
        <v>0</v>
      </c>
      <c r="E62" s="0" t="n">
        <f aca="false">IF($A62&lt;$B$5,0,IF($A62&gt;$B$6,0,Fwd_curves!L92))</f>
        <v>0</v>
      </c>
      <c r="F62" s="0" t="n">
        <f aca="false">IF($A62&lt;$B$5,0,IF($A62&gt;$B$6,0,Fwd_curves!M92))</f>
        <v>0</v>
      </c>
      <c r="G62" s="0" t="n">
        <f aca="false">IF($A62&lt;$B$5,0,IF($A62&gt;$B$6,0,Fwd_curves!N92))</f>
        <v>0</v>
      </c>
      <c r="H62" s="54" t="n">
        <f aca="false">IF($A62&lt;$B$5,0,IF($A62&gt;$B$6,0,Fwd_curves!O92))</f>
        <v>0</v>
      </c>
      <c r="I62" s="54" t="n">
        <f aca="false">IF($A62&lt;$B$5,0,IF($A62&gt;$B$6,0,Fwd_curves!P92))</f>
        <v>0</v>
      </c>
      <c r="J62" s="0" t="n">
        <f aca="false">IF($A62&lt;$B$5,0,IF($A62&gt;$B$6,0,Fwd_curves!Q92))</f>
        <v>0</v>
      </c>
      <c r="K62" s="0" t="n">
        <f aca="false">IF(B62=0,0,$B$9*B62)</f>
        <v>0</v>
      </c>
      <c r="L62" s="56" t="n">
        <f aca="false">external_curves!AB22</f>
        <v>22</v>
      </c>
      <c r="M62" s="56" t="n">
        <f aca="false">external_curves!AA22</f>
        <v>8</v>
      </c>
      <c r="N62" s="138" t="n">
        <f aca="false">(L62*16*$K62)</f>
        <v>0</v>
      </c>
      <c r="O62" s="138" t="n">
        <f aca="false">(L62*13*$K62)</f>
        <v>0</v>
      </c>
      <c r="P62" s="138" t="n">
        <f aca="false">(M62*24*$K62)</f>
        <v>0</v>
      </c>
      <c r="Q62" s="138" t="n">
        <f aca="false">((L62+M62)*K62)*24</f>
        <v>0</v>
      </c>
      <c r="R62" s="0" t="n">
        <f aca="false">L62*8*K62</f>
        <v>0</v>
      </c>
      <c r="T62" s="0" t="n">
        <f aca="false">IF(N62=0,0,$L62*16)*$B$9</f>
        <v>0</v>
      </c>
      <c r="U62" s="0" t="n">
        <f aca="false">IF(O62=0,0,$L62*13)*$B$9</f>
        <v>0</v>
      </c>
      <c r="V62" s="0" t="n">
        <f aca="false">IF(P62=0,0,$M62*24)*$B$9</f>
        <v>0</v>
      </c>
      <c r="W62" s="0" t="n">
        <f aca="false">IF(Q62=0,0,($L62+$M62)*24)*$B$9</f>
        <v>0</v>
      </c>
      <c r="X62" s="0" t="n">
        <f aca="false">IF(R62=0,0,$L62*8)*$B$9</f>
        <v>0</v>
      </c>
    </row>
    <row r="63" customFormat="false" ht="12.75" hidden="false" customHeight="false" outlineLevel="0" collapsed="false">
      <c r="A63" s="61" t="n">
        <f aca="false">Fwd_curves!A93</f>
        <v>36861</v>
      </c>
      <c r="B63" s="0" t="n">
        <f aca="false">IF($A63&lt;$B$5,0,IF($A63&gt;$B$6,0,Fwd_curves!H93))</f>
        <v>0</v>
      </c>
      <c r="C63" s="0" t="n">
        <f aca="false">IF($A63&lt;$B$5,0,IF($A63&gt;$B$6,0,Fwd_curves!J93))</f>
        <v>0</v>
      </c>
      <c r="D63" s="0" t="n">
        <f aca="false">IF($A63&lt;$B$5,0,IF($A63&gt;$B$6,0,Fwd_curves!K93))</f>
        <v>0</v>
      </c>
      <c r="E63" s="0" t="n">
        <f aca="false">IF($A63&lt;$B$5,0,IF($A63&gt;$B$6,0,Fwd_curves!L93))</f>
        <v>0</v>
      </c>
      <c r="F63" s="0" t="n">
        <f aca="false">IF($A63&lt;$B$5,0,IF($A63&gt;$B$6,0,Fwd_curves!M93))</f>
        <v>0</v>
      </c>
      <c r="G63" s="0" t="n">
        <f aca="false">IF($A63&lt;$B$5,0,IF($A63&gt;$B$6,0,Fwd_curves!N93))</f>
        <v>0</v>
      </c>
      <c r="H63" s="54" t="n">
        <f aca="false">IF($A63&lt;$B$5,0,IF($A63&gt;$B$6,0,Fwd_curves!O93))</f>
        <v>0</v>
      </c>
      <c r="I63" s="54" t="n">
        <f aca="false">IF($A63&lt;$B$5,0,IF($A63&gt;$B$6,0,Fwd_curves!P93))</f>
        <v>0</v>
      </c>
      <c r="J63" s="0" t="n">
        <f aca="false">IF($A63&lt;$B$5,0,IF($A63&gt;$B$6,0,Fwd_curves!Q93))</f>
        <v>0</v>
      </c>
      <c r="K63" s="0" t="n">
        <f aca="false">IF(B63=0,0,$B$9*B63)</f>
        <v>0</v>
      </c>
      <c r="L63" s="56" t="n">
        <f aca="false">external_curves!AB23</f>
        <v>21</v>
      </c>
      <c r="M63" s="56" t="n">
        <f aca="false">external_curves!AA23</f>
        <v>10</v>
      </c>
      <c r="N63" s="138" t="n">
        <f aca="false">(L63*16*$K63)</f>
        <v>0</v>
      </c>
      <c r="O63" s="138" t="n">
        <f aca="false">(L63*13*$K63)</f>
        <v>0</v>
      </c>
      <c r="P63" s="138" t="n">
        <f aca="false">(M63*24*$K63)</f>
        <v>0</v>
      </c>
      <c r="Q63" s="138" t="n">
        <f aca="false">((L63+M63)*K63)*24</f>
        <v>0</v>
      </c>
      <c r="R63" s="0" t="n">
        <f aca="false">L63*8*K63</f>
        <v>0</v>
      </c>
      <c r="T63" s="0" t="n">
        <f aca="false">IF(N63=0,0,$L63*16)*$B$9</f>
        <v>0</v>
      </c>
      <c r="U63" s="0" t="n">
        <f aca="false">IF(O63=0,0,$L63*13)*$B$9</f>
        <v>0</v>
      </c>
      <c r="V63" s="0" t="n">
        <f aca="false">IF(P63=0,0,$M63*24)*$B$9</f>
        <v>0</v>
      </c>
      <c r="W63" s="0" t="n">
        <f aca="false">IF(Q63=0,0,($L63+$M63)*24)*$B$9</f>
        <v>0</v>
      </c>
      <c r="X63" s="0" t="n">
        <f aca="false">IF(R63=0,0,$L63*8)*$B$9</f>
        <v>0</v>
      </c>
    </row>
    <row r="64" customFormat="false" ht="12.75" hidden="false" customHeight="false" outlineLevel="0" collapsed="false">
      <c r="A64" s="61" t="n">
        <f aca="false">Fwd_curves!A94</f>
        <v>36892</v>
      </c>
      <c r="B64" s="0" t="n">
        <f aca="false">IF($A64&lt;$B$5,0,IF($A64&gt;$B$6,0,Fwd_curves!H94))</f>
        <v>4.28468849123454</v>
      </c>
      <c r="C64" s="0" t="n">
        <f aca="false">IF($A64&lt;$B$5,0,IF($A64&gt;$B$6,0,Fwd_curves!J94))</f>
        <v>141.39472021074</v>
      </c>
      <c r="D64" s="0" t="n">
        <f aca="false">IF($A64&lt;$B$5,0,IF($A64&gt;$B$6,0,Fwd_curves!K94))</f>
        <v>164.96050691253</v>
      </c>
      <c r="E64" s="0" t="n">
        <f aca="false">IF($A64&lt;$B$5,0,IF($A64&gt;$B$6,0,Fwd_curves!L94))</f>
        <v>411.651446795359</v>
      </c>
      <c r="F64" s="0" t="n">
        <f aca="false">IF($A64&lt;$B$5,0,IF($A64&gt;$B$6,0,Fwd_curves!M94))</f>
        <v>281.151583691766</v>
      </c>
      <c r="G64" s="0" t="n">
        <f aca="false">IF($A64&lt;$B$5,0,IF($A64&gt;$B$6,0,Fwd_curves!N94))</f>
        <v>23.5229398168776</v>
      </c>
      <c r="H64" s="54" t="n">
        <f aca="false">IF($A64&lt;$B$5,0,IF($A64&gt;$B$6,0,Fwd_curves!O94))</f>
        <v>333.458526888912</v>
      </c>
      <c r="I64" s="54" t="n">
        <f aca="false">IF($A64&lt;$B$5,0,IF($A64&gt;$B$6,0,Fwd_curves!P94))</f>
        <v>285.08708304116</v>
      </c>
      <c r="J64" s="0" t="n">
        <f aca="false">IF($A64&lt;$B$5,0,IF($A64&gt;$B$6,0,Fwd_curves!Q94))</f>
        <v>6.29167031865872</v>
      </c>
      <c r="K64" s="0" t="n">
        <f aca="false">IF(B64=0,0,$B$9*B64)</f>
        <v>107.117212280864</v>
      </c>
      <c r="L64" s="56" t="n">
        <f aca="false">external_curves!AB24</f>
        <v>23</v>
      </c>
      <c r="M64" s="56" t="n">
        <f aca="false">external_curves!AA24</f>
        <v>8</v>
      </c>
      <c r="N64" s="138" t="n">
        <f aca="false">(L64*16*$K64)</f>
        <v>39419.1341193578</v>
      </c>
      <c r="O64" s="138" t="n">
        <f aca="false">(L64*13*$K64)</f>
        <v>32028.0464719782</v>
      </c>
      <c r="P64" s="138" t="n">
        <f aca="false">(M64*24*$K64)</f>
        <v>20566.5047579258</v>
      </c>
      <c r="Q64" s="138" t="n">
        <f aca="false">((L64+M64)*K64)*24</f>
        <v>79695.2059369625</v>
      </c>
      <c r="R64" s="0" t="n">
        <f aca="false">L64*8*K64</f>
        <v>19709.5670596789</v>
      </c>
      <c r="T64" s="0" t="n">
        <f aca="false">IF(N64=0,0,$L64*16)*$B$9</f>
        <v>9200</v>
      </c>
      <c r="U64" s="0" t="n">
        <f aca="false">IF(O64=0,0,$L64*13)*$B$9</f>
        <v>7475</v>
      </c>
      <c r="V64" s="0" t="n">
        <f aca="false">IF(P64=0,0,$M64*24)*$B$9</f>
        <v>4800</v>
      </c>
      <c r="W64" s="0" t="n">
        <f aca="false">IF(Q64=0,0,($L64+$M64)*24)*$B$9</f>
        <v>18600</v>
      </c>
      <c r="X64" s="0" t="n">
        <f aca="false">IF(R64=0,0,$L64*8)*$B$9</f>
        <v>4600</v>
      </c>
    </row>
    <row r="65" customFormat="false" ht="12.75" hidden="false" customHeight="false" outlineLevel="0" collapsed="false">
      <c r="A65" s="61" t="n">
        <f aca="false">Fwd_curves!A95</f>
        <v>36923</v>
      </c>
      <c r="B65" s="0" t="n">
        <f aca="false">IF($A65&lt;$B$5,0,IF($A65&gt;$B$6,0,Fwd_curves!H95))</f>
        <v>4.28528666346749</v>
      </c>
      <c r="C65" s="0" t="n">
        <f aca="false">IF($A65&lt;$B$5,0,IF($A65&gt;$B$6,0,Fwd_curves!J95))</f>
        <v>128.558599904025</v>
      </c>
      <c r="D65" s="0" t="n">
        <f aca="false">IF($A65&lt;$B$5,0,IF($A65&gt;$B$6,0,Fwd_curves!K95))</f>
        <v>160.698249880031</v>
      </c>
      <c r="E65" s="0" t="n">
        <f aca="false">IF($A65&lt;$B$5,0,IF($A65&gt;$B$6,0,Fwd_curves!L95))</f>
        <v>393.710712206075</v>
      </c>
      <c r="F65" s="0" t="n">
        <f aca="false">IF($A65&lt;$B$5,0,IF($A65&gt;$B$6,0,Fwd_curves!M95))</f>
        <v>264.00426766005</v>
      </c>
      <c r="G65" s="0" t="n">
        <f aca="false">IF($A65&lt;$B$5,0,IF($A65&gt;$B$6,0,Fwd_curves!N95))</f>
        <v>22.4977549832043</v>
      </c>
      <c r="H65" s="54" t="n">
        <f aca="false">IF($A65&lt;$B$5,0,IF($A65&gt;$B$6,0,Fwd_curves!O95))</f>
        <v>311.214965022971</v>
      </c>
      <c r="I65" s="54" t="n">
        <f aca="false">IF($A65&lt;$B$5,0,IF($A65&gt;$B$6,0,Fwd_curves!P95))</f>
        <v>268.776560701656</v>
      </c>
      <c r="J65" s="0" t="n">
        <f aca="false">IF($A65&lt;$B$5,0,IF($A65&gt;$B$6,0,Fwd_curves!Q95))</f>
        <v>6.28717101056506</v>
      </c>
      <c r="K65" s="0" t="n">
        <f aca="false">IF(B65=0,0,$B$9*B65)</f>
        <v>107.132166586687</v>
      </c>
      <c r="L65" s="56" t="n">
        <f aca="false">external_curves!AB25</f>
        <v>20</v>
      </c>
      <c r="M65" s="56" t="n">
        <f aca="false">external_curves!AA25</f>
        <v>8</v>
      </c>
      <c r="N65" s="138" t="n">
        <f aca="false">(L65*16*$K65)</f>
        <v>34282.2933077399</v>
      </c>
      <c r="O65" s="138" t="n">
        <f aca="false">(L65*13*$K65)</f>
        <v>27854.3633125387</v>
      </c>
      <c r="P65" s="138" t="n">
        <f aca="false">(M65*24*$K65)</f>
        <v>20569.3759846439</v>
      </c>
      <c r="Q65" s="138" t="n">
        <f aca="false">((L65+M65)*K65)*24</f>
        <v>71992.8159462537</v>
      </c>
      <c r="R65" s="0" t="n">
        <f aca="false">L65*8*K65</f>
        <v>17141.1466538699</v>
      </c>
      <c r="T65" s="0" t="n">
        <f aca="false">IF(N65=0,0,$L65*16)*$B$9</f>
        <v>8000</v>
      </c>
      <c r="U65" s="0" t="n">
        <f aca="false">IF(O65=0,0,$L65*13)*$B$9</f>
        <v>6500</v>
      </c>
      <c r="V65" s="0" t="n">
        <f aca="false">IF(P65=0,0,$M65*24)*$B$9</f>
        <v>4800</v>
      </c>
      <c r="W65" s="0" t="n">
        <f aca="false">IF(Q65=0,0,($L65+$M65)*24)*$B$9</f>
        <v>16800</v>
      </c>
      <c r="X65" s="0" t="n">
        <f aca="false">IF(R65=0,0,$L65*8)*$B$9</f>
        <v>4000</v>
      </c>
    </row>
    <row r="66" customFormat="false" ht="12.75" hidden="false" customHeight="false" outlineLevel="0" collapsed="false">
      <c r="A66" s="61" t="n">
        <f aca="false">Fwd_curves!A96</f>
        <v>36951</v>
      </c>
      <c r="B66" s="0" t="n">
        <f aca="false">IF($A66&lt;$B$5,0,IF($A66&gt;$B$6,0,Fwd_curves!H96))</f>
        <v>4.28569289624055</v>
      </c>
      <c r="C66" s="0" t="n">
        <f aca="false">IF($A66&lt;$B$5,0,IF($A66&gt;$B$6,0,Fwd_curves!J96))</f>
        <v>132.856479783457</v>
      </c>
      <c r="D66" s="0" t="n">
        <f aca="false">IF($A66&lt;$B$5,0,IF($A66&gt;$B$6,0,Fwd_curves!K96))</f>
        <v>160.713483609021</v>
      </c>
      <c r="E66" s="0" t="n">
        <f aca="false">IF($A66&lt;$B$5,0,IF($A66&gt;$B$6,0,Fwd_curves!L96))</f>
        <v>377.998113448416</v>
      </c>
      <c r="F66" s="0" t="n">
        <f aca="false">IF($A66&lt;$B$5,0,IF($A66&gt;$B$6,0,Fwd_curves!M96))</f>
        <v>256.924984993655</v>
      </c>
      <c r="G66" s="0" t="n">
        <f aca="false">IF($A66&lt;$B$5,0,IF($A66&gt;$B$6,0,Fwd_curves!N96))</f>
        <v>21.5998921970524</v>
      </c>
      <c r="H66" s="54" t="n">
        <f aca="false">IF($A66&lt;$B$5,0,IF($A66&gt;$B$6,0,Fwd_curves!O96))</f>
        <v>263.878973275494</v>
      </c>
      <c r="I66" s="54" t="n">
        <f aca="false">IF($A66&lt;$B$5,0,IF($A66&gt;$B$6,0,Fwd_curves!P96))</f>
        <v>225.675297037068</v>
      </c>
      <c r="J66" s="0" t="n">
        <f aca="false">IF($A66&lt;$B$5,0,IF($A66&gt;$B$6,0,Fwd_curves!Q96))</f>
        <v>6.28283269703558</v>
      </c>
      <c r="K66" s="0" t="n">
        <f aca="false">IF(B66=0,0,$B$9*B66)</f>
        <v>107.142322406014</v>
      </c>
      <c r="L66" s="56" t="n">
        <f aca="false">external_curves!AB26</f>
        <v>22</v>
      </c>
      <c r="M66" s="56" t="n">
        <f aca="false">external_curves!AA26</f>
        <v>9</v>
      </c>
      <c r="N66" s="138" t="n">
        <f aca="false">(L66*16*$K66)</f>
        <v>37714.0974869168</v>
      </c>
      <c r="O66" s="138" t="n">
        <f aca="false">(L66*13*$K66)</f>
        <v>30642.7042081199</v>
      </c>
      <c r="P66" s="138" t="n">
        <f aca="false">(M66*24*$K66)</f>
        <v>23142.741639699</v>
      </c>
      <c r="Q66" s="138" t="n">
        <f aca="false">((L66+M66)*K66)*24</f>
        <v>79713.8878700742</v>
      </c>
      <c r="R66" s="0" t="n">
        <f aca="false">L66*8*K66</f>
        <v>18857.0487434584</v>
      </c>
      <c r="T66" s="0" t="n">
        <f aca="false">IF(N66=0,0,$L66*16)*$B$9</f>
        <v>8800</v>
      </c>
      <c r="U66" s="0" t="n">
        <f aca="false">IF(O66=0,0,$L66*13)*$B$9</f>
        <v>7150</v>
      </c>
      <c r="V66" s="0" t="n">
        <f aca="false">IF(P66=0,0,$M66*24)*$B$9</f>
        <v>5400</v>
      </c>
      <c r="W66" s="0" t="n">
        <f aca="false">IF(Q66=0,0,($L66+$M66)*24)*$B$9</f>
        <v>18600</v>
      </c>
      <c r="X66" s="0" t="n">
        <f aca="false">IF(R66=0,0,$L66*8)*$B$9</f>
        <v>4400</v>
      </c>
    </row>
    <row r="67" customFormat="false" ht="12.75" hidden="false" customHeight="false" outlineLevel="0" collapsed="false">
      <c r="A67" s="61" t="n">
        <f aca="false">Fwd_curves!A97</f>
        <v>36982</v>
      </c>
      <c r="B67" s="0" t="n">
        <f aca="false">IF($A67&lt;$B$5,0,IF($A67&gt;$B$6,0,Fwd_curves!H97))</f>
        <v>4.28320539384139</v>
      </c>
      <c r="C67" s="0" t="n">
        <f aca="false">IF($A67&lt;$B$5,0,IF($A67&gt;$B$6,0,Fwd_curves!J97))</f>
        <v>126.354559118321</v>
      </c>
      <c r="D67" s="0" t="n">
        <f aca="false">IF($A67&lt;$B$5,0,IF($A67&gt;$B$6,0,Fwd_curves!K97))</f>
        <v>160.620202269052</v>
      </c>
      <c r="E67" s="0" t="n">
        <f aca="false">IF($A67&lt;$B$5,0,IF($A67&gt;$B$6,0,Fwd_curves!L97))</f>
        <v>339.745491219997</v>
      </c>
      <c r="F67" s="0" t="n">
        <f aca="false">IF($A67&lt;$B$5,0,IF($A67&gt;$B$6,0,Fwd_curves!M97))</f>
        <v>236.216687044322</v>
      </c>
      <c r="G67" s="0" t="n">
        <f aca="false">IF($A67&lt;$B$5,0,IF($A67&gt;$B$6,0,Fwd_curves!N97))</f>
        <v>19.4140280697141</v>
      </c>
      <c r="H67" s="54" t="n">
        <f aca="false">IF($A67&lt;$B$5,0,IF($A67&gt;$B$6,0,Fwd_curves!O97))</f>
        <v>265.068441889521</v>
      </c>
      <c r="I67" s="54" t="n">
        <f aca="false">IF($A67&lt;$B$5,0,IF($A67&gt;$B$6,0,Fwd_curves!P97))</f>
        <v>218.363417283083</v>
      </c>
      <c r="J67" s="0" t="n">
        <f aca="false">IF($A67&lt;$B$5,0,IF($A67&gt;$B$6,0,Fwd_curves!Q97))</f>
        <v>6.27380927549162</v>
      </c>
      <c r="K67" s="0" t="n">
        <f aca="false">IF(B67=0,0,$B$9*B67)</f>
        <v>107.080134846035</v>
      </c>
      <c r="L67" s="56" t="n">
        <f aca="false">external_curves!AB27</f>
        <v>21</v>
      </c>
      <c r="M67" s="56" t="n">
        <f aca="false">external_curves!AA27</f>
        <v>9</v>
      </c>
      <c r="N67" s="138" t="n">
        <f aca="false">(L67*16*$K67)</f>
        <v>35978.9253082676</v>
      </c>
      <c r="O67" s="138" t="n">
        <f aca="false">(L67*13*$K67)</f>
        <v>29232.8768129675</v>
      </c>
      <c r="P67" s="138" t="n">
        <f aca="false">(M67*24*$K67)</f>
        <v>23129.3091267435</v>
      </c>
      <c r="Q67" s="138" t="n">
        <f aca="false">((L67+M67)*K67)*24</f>
        <v>77097.6970891449</v>
      </c>
      <c r="R67" s="0" t="n">
        <f aca="false">L67*8*K67</f>
        <v>17989.4626541338</v>
      </c>
      <c r="T67" s="0" t="n">
        <f aca="false">IF(N67=0,0,$L67*16)*$B$9</f>
        <v>8400</v>
      </c>
      <c r="U67" s="0" t="n">
        <f aca="false">IF(O67=0,0,$L67*13)*$B$9</f>
        <v>6825</v>
      </c>
      <c r="V67" s="0" t="n">
        <f aca="false">IF(P67=0,0,$M67*24)*$B$9</f>
        <v>5400</v>
      </c>
      <c r="W67" s="0" t="n">
        <f aca="false">IF(Q67=0,0,($L67+$M67)*24)*$B$9</f>
        <v>18000</v>
      </c>
      <c r="X67" s="0" t="n">
        <f aca="false">IF(R67=0,0,$L67*8)*$B$9</f>
        <v>4200</v>
      </c>
    </row>
    <row r="68" customFormat="false" ht="12.75" hidden="false" customHeight="false" outlineLevel="0" collapsed="false">
      <c r="A68" s="61" t="n">
        <f aca="false">Fwd_curves!A98</f>
        <v>37012</v>
      </c>
      <c r="B68" s="0" t="n">
        <f aca="false">IF($A68&lt;$B$5,0,IF($A68&gt;$B$6,0,Fwd_curves!H98))</f>
        <v>4.2769518051475</v>
      </c>
      <c r="C68" s="0" t="n">
        <f aca="false">IF($A68&lt;$B$5,0,IF($A68&gt;$B$6,0,Fwd_curves!J98))</f>
        <v>136.86245776472</v>
      </c>
      <c r="D68" s="0" t="n">
        <f aca="false">IF($A68&lt;$B$5,0,IF($A68&gt;$B$6,0,Fwd_curves!K98))</f>
        <v>160.385692693031</v>
      </c>
      <c r="E68" s="0" t="n">
        <f aca="false">IF($A68&lt;$B$5,0,IF($A68&gt;$B$6,0,Fwd_curves!L98))</f>
        <v>325.051371389353</v>
      </c>
      <c r="F68" s="0" t="n">
        <f aca="false">IF($A68&lt;$B$5,0,IF($A68&gt;$B$6,0,Fwd_curves!M98))</f>
        <v>236.01565846378</v>
      </c>
      <c r="G68" s="0" t="n">
        <f aca="false">IF($A68&lt;$B$5,0,IF($A68&gt;$B$6,0,Fwd_curves!N98))</f>
        <v>18.5743640793916</v>
      </c>
      <c r="H68" s="54" t="n">
        <f aca="false">IF($A68&lt;$B$5,0,IF($A68&gt;$B$6,0,Fwd_curves!O98))</f>
        <v>248.825684950941</v>
      </c>
      <c r="I68" s="54" t="n">
        <f aca="false">IF($A68&lt;$B$5,0,IF($A68&gt;$B$6,0,Fwd_curves!P98))</f>
        <v>194.448177618895</v>
      </c>
      <c r="J68" s="0" t="n">
        <f aca="false">IF($A68&lt;$B$5,0,IF($A68&gt;$B$6,0,Fwd_curves!Q98))</f>
        <v>6.25976565914318</v>
      </c>
      <c r="K68" s="0" t="n">
        <f aca="false">IF(B68=0,0,$B$9*B68)</f>
        <v>106.923795128688</v>
      </c>
      <c r="L68" s="56" t="n">
        <f aca="false">external_curves!AB28</f>
        <v>23</v>
      </c>
      <c r="M68" s="56" t="n">
        <f aca="false">external_curves!AA28</f>
        <v>8</v>
      </c>
      <c r="N68" s="138" t="n">
        <f aca="false">(L68*16*$K68)</f>
        <v>39347.956607357</v>
      </c>
      <c r="O68" s="138" t="n">
        <f aca="false">(L68*13*$K68)</f>
        <v>31970.2147434776</v>
      </c>
      <c r="P68" s="138" t="n">
        <f aca="false">(M68*24*$K68)</f>
        <v>20529.368664708</v>
      </c>
      <c r="Q68" s="138" t="n">
        <f aca="false">((L68+M68)*K68)*24</f>
        <v>79551.3035757435</v>
      </c>
      <c r="R68" s="0" t="n">
        <f aca="false">L68*8*K68</f>
        <v>19673.9783036785</v>
      </c>
      <c r="T68" s="0" t="n">
        <f aca="false">IF(N68=0,0,$L68*16)*$B$9</f>
        <v>9200</v>
      </c>
      <c r="U68" s="0" t="n">
        <f aca="false">IF(O68=0,0,$L68*13)*$B$9</f>
        <v>7475</v>
      </c>
      <c r="V68" s="0" t="n">
        <f aca="false">IF(P68=0,0,$M68*24)*$B$9</f>
        <v>4800</v>
      </c>
      <c r="W68" s="0" t="n">
        <f aca="false">IF(Q68=0,0,($L68+$M68)*24)*$B$9</f>
        <v>18600</v>
      </c>
      <c r="X68" s="0" t="n">
        <f aca="false">IF(R68=0,0,$L68*8)*$B$9</f>
        <v>4600</v>
      </c>
    </row>
    <row r="69" customFormat="false" ht="12.75" hidden="false" customHeight="false" outlineLevel="0" collapsed="false">
      <c r="A69" s="61" t="n">
        <f aca="false">Fwd_curves!A99</f>
        <v>37043</v>
      </c>
      <c r="B69" s="0" t="n">
        <f aca="false">IF($A69&lt;$B$5,0,IF($A69&gt;$B$6,0,Fwd_curves!H99))</f>
        <v>4.27039399406883</v>
      </c>
      <c r="C69" s="0" t="n">
        <f aca="false">IF($A69&lt;$B$5,0,IF($A69&gt;$B$6,0,Fwd_curves!J99))</f>
        <v>136.652607810203</v>
      </c>
      <c r="D69" s="0" t="n">
        <f aca="false">IF($A69&lt;$B$5,0,IF($A69&gt;$B$6,0,Fwd_curves!K99))</f>
        <v>160.139774777581</v>
      </c>
      <c r="E69" s="0" t="n">
        <f aca="false">IF($A69&lt;$B$5,0,IF($A69&gt;$B$6,0,Fwd_curves!L99))</f>
        <v>321.201489892012</v>
      </c>
      <c r="F69" s="0" t="n">
        <f aca="false">IF($A69&lt;$B$5,0,IF($A69&gt;$B$6,0,Fwd_curves!M99))</f>
        <v>229.821569538594</v>
      </c>
      <c r="G69" s="0" t="n">
        <f aca="false">IF($A69&lt;$B$5,0,IF($A69&gt;$B$6,0,Fwd_curves!N99))</f>
        <v>18.3543708509721</v>
      </c>
      <c r="H69" s="54" t="n">
        <f aca="false">IF($A69&lt;$B$5,0,IF($A69&gt;$B$6,0,Fwd_curves!O99))</f>
        <v>254.489759791056</v>
      </c>
      <c r="I69" s="54" t="n">
        <f aca="false">IF($A69&lt;$B$5,0,IF($A69&gt;$B$6,0,Fwd_curves!P99))</f>
        <v>202.412168864488</v>
      </c>
      <c r="J69" s="0" t="n">
        <f aca="false">IF($A69&lt;$B$5,0,IF($A69&gt;$B$6,0,Fwd_curves!Q99))</f>
        <v>6.24514747953513</v>
      </c>
      <c r="K69" s="0" t="n">
        <f aca="false">IF(B69=0,0,$B$9*B69)</f>
        <v>106.759849851721</v>
      </c>
      <c r="L69" s="56" t="n">
        <f aca="false">external_curves!AB29</f>
        <v>21</v>
      </c>
      <c r="M69" s="56" t="n">
        <f aca="false">external_curves!AA29</f>
        <v>9</v>
      </c>
      <c r="N69" s="138" t="n">
        <f aca="false">(L69*16*$K69)</f>
        <v>35871.3095501782</v>
      </c>
      <c r="O69" s="138" t="n">
        <f aca="false">(L69*13*$K69)</f>
        <v>29145.4390095198</v>
      </c>
      <c r="P69" s="138" t="n">
        <f aca="false">(M69*24*$K69)</f>
        <v>23060.1275679717</v>
      </c>
      <c r="Q69" s="138" t="n">
        <f aca="false">((L69+M69)*K69)*24</f>
        <v>76867.091893239</v>
      </c>
      <c r="R69" s="0" t="n">
        <f aca="false">L69*8*K69</f>
        <v>17935.6547750891</v>
      </c>
      <c r="T69" s="0" t="n">
        <f aca="false">IF(N69=0,0,$L69*16)*$B$9</f>
        <v>8400</v>
      </c>
      <c r="U69" s="0" t="n">
        <f aca="false">IF(O69=0,0,$L69*13)*$B$9</f>
        <v>6825</v>
      </c>
      <c r="V69" s="0" t="n">
        <f aca="false">IF(P69=0,0,$M69*24)*$B$9</f>
        <v>5400</v>
      </c>
      <c r="W69" s="0" t="n">
        <f aca="false">IF(Q69=0,0,($L69+$M69)*24)*$B$9</f>
        <v>18000</v>
      </c>
      <c r="X69" s="0" t="n">
        <f aca="false">IF(R69=0,0,$L69*8)*$B$9</f>
        <v>4200</v>
      </c>
    </row>
    <row r="70" customFormat="false" ht="12.75" hidden="false" customHeight="false" outlineLevel="0" collapsed="false">
      <c r="A70" s="61" t="n">
        <f aca="false">Fwd_curves!A100</f>
        <v>37073</v>
      </c>
      <c r="B70" s="0" t="n">
        <f aca="false">IF($A70&lt;$B$5,0,IF($A70&gt;$B$6,0,Fwd_curves!H100))</f>
        <v>4.26082139300952</v>
      </c>
      <c r="C70" s="0" t="n">
        <f aca="false">IF($A70&lt;$B$5,0,IF($A70&gt;$B$6,0,Fwd_curves!J100))</f>
        <v>127.824641790286</v>
      </c>
      <c r="D70" s="0" t="n">
        <f aca="false">IF($A70&lt;$B$5,0,IF($A70&gt;$B$6,0,Fwd_curves!K100))</f>
        <v>162.763377212964</v>
      </c>
      <c r="E70" s="0" t="n">
        <f aca="false">IF($A70&lt;$B$5,0,IF($A70&gt;$B$6,0,Fwd_curves!L100))</f>
        <v>319.408248408227</v>
      </c>
      <c r="F70" s="0" t="n">
        <f aca="false">IF($A70&lt;$B$5,0,IF($A70&gt;$B$6,0,Fwd_curves!M100))</f>
        <v>228.609851979552</v>
      </c>
      <c r="G70" s="0" t="n">
        <f aca="false">IF($A70&lt;$B$5,0,IF($A70&gt;$B$6,0,Fwd_curves!N100))</f>
        <v>18.2518999090416</v>
      </c>
      <c r="H70" s="54" t="n">
        <f aca="false">IF($A70&lt;$B$5,0,IF($A70&gt;$B$6,0,Fwd_curves!O100))</f>
        <v>417.155830461202</v>
      </c>
      <c r="I70" s="54" t="n">
        <f aca="false">IF($A70&lt;$B$5,0,IF($A70&gt;$B$6,0,Fwd_curves!P100))</f>
        <v>315.427651294809</v>
      </c>
      <c r="J70" s="0" t="n">
        <f aca="false">IF($A70&lt;$B$5,0,IF($A70&gt;$B$6,0,Fwd_curves!Q100))</f>
        <v>6.22620642479406</v>
      </c>
      <c r="K70" s="0" t="n">
        <f aca="false">IF(B70=0,0,$B$9*B70)</f>
        <v>106.520534825238</v>
      </c>
      <c r="L70" s="56" t="n">
        <f aca="false">external_curves!AB30</f>
        <v>22</v>
      </c>
      <c r="M70" s="56" t="n">
        <f aca="false">external_curves!AA30</f>
        <v>9</v>
      </c>
      <c r="N70" s="138" t="n">
        <f aca="false">(L70*16*$K70)</f>
        <v>37495.2282584838</v>
      </c>
      <c r="O70" s="138" t="n">
        <f aca="false">(L70*13*$K70)</f>
        <v>30464.8729600181</v>
      </c>
      <c r="P70" s="138" t="n">
        <f aca="false">(M70*24*$K70)</f>
        <v>23008.4355222514</v>
      </c>
      <c r="Q70" s="138" t="n">
        <f aca="false">((L70+M70)*K70)*24</f>
        <v>79251.2779099771</v>
      </c>
      <c r="R70" s="0" t="n">
        <f aca="false">L70*8*K70</f>
        <v>18747.6141292419</v>
      </c>
      <c r="T70" s="0" t="n">
        <f aca="false">IF(N70=0,0,$L70*16)*$B$9</f>
        <v>8800</v>
      </c>
      <c r="U70" s="0" t="n">
        <f aca="false">IF(O70=0,0,$L70*13)*$B$9</f>
        <v>7150</v>
      </c>
      <c r="V70" s="0" t="n">
        <f aca="false">IF(P70=0,0,$M70*24)*$B$9</f>
        <v>5400</v>
      </c>
      <c r="W70" s="0" t="n">
        <f aca="false">IF(Q70=0,0,($L70+$M70)*24)*$B$9</f>
        <v>18600</v>
      </c>
      <c r="X70" s="0" t="n">
        <f aca="false">IF(R70=0,0,$L70*8)*$B$9</f>
        <v>4400</v>
      </c>
    </row>
    <row r="71" customFormat="false" ht="12.75" hidden="false" customHeight="false" outlineLevel="0" collapsed="false">
      <c r="A71" s="61" t="n">
        <f aca="false">Fwd_curves!A101</f>
        <v>37104</v>
      </c>
      <c r="B71" s="0" t="n">
        <f aca="false">IF($A71&lt;$B$5,0,IF($A71&gt;$B$6,0,Fwd_curves!H101))</f>
        <v>4.24604579123137</v>
      </c>
      <c r="C71" s="0" t="n">
        <f aca="false">IF($A71&lt;$B$5,0,IF($A71&gt;$B$6,0,Fwd_curves!J101))</f>
        <v>127.381373736941</v>
      </c>
      <c r="D71" s="0" t="n">
        <f aca="false">IF($A71&lt;$B$5,0,IF($A71&gt;$B$6,0,Fwd_curves!K101))</f>
        <v>170.860882639151</v>
      </c>
      <c r="E71" s="0" t="n">
        <f aca="false">IF($A71&lt;$B$5,0,IF($A71&gt;$B$6,0,Fwd_curves!L101))</f>
        <v>317.428519344981</v>
      </c>
      <c r="F71" s="0" t="n">
        <f aca="false">IF($A71&lt;$B$5,0,IF($A71&gt;$B$6,0,Fwd_curves!M101))</f>
        <v>232.603706119983</v>
      </c>
      <c r="G71" s="0" t="n">
        <f aca="false">IF($A71&lt;$B$5,0,IF($A71&gt;$B$6,0,Fwd_curves!N101))</f>
        <v>18.1387725339989</v>
      </c>
      <c r="H71" s="54" t="n">
        <f aca="false">IF($A71&lt;$B$5,0,IF($A71&gt;$B$6,0,Fwd_curves!O101))</f>
        <v>499.049398857481</v>
      </c>
      <c r="I71" s="54" t="n">
        <f aca="false">IF($A71&lt;$B$5,0,IF($A71&gt;$B$6,0,Fwd_curves!P101))</f>
        <v>396.359811074144</v>
      </c>
      <c r="J71" s="0" t="n">
        <f aca="false">IF($A71&lt;$B$5,0,IF($A71&gt;$B$6,0,Fwd_curves!Q101))</f>
        <v>6.19937141437864</v>
      </c>
      <c r="K71" s="0" t="n">
        <f aca="false">IF(B71=0,0,$B$9*B71)</f>
        <v>106.151144780784</v>
      </c>
      <c r="L71" s="56" t="n">
        <f aca="false">external_curves!AB31</f>
        <v>23</v>
      </c>
      <c r="M71" s="56" t="n">
        <f aca="false">external_curves!AA31</f>
        <v>8</v>
      </c>
      <c r="N71" s="138" t="n">
        <f aca="false">(L71*16*$K71)</f>
        <v>39063.6212793287</v>
      </c>
      <c r="O71" s="138" t="n">
        <f aca="false">(L71*13*$K71)</f>
        <v>31739.1922894545</v>
      </c>
      <c r="P71" s="138" t="n">
        <f aca="false">(M71*24*$K71)</f>
        <v>20381.0197979106</v>
      </c>
      <c r="Q71" s="138" t="n">
        <f aca="false">((L71+M71)*K71)*24</f>
        <v>78976.4517169036</v>
      </c>
      <c r="R71" s="0" t="n">
        <f aca="false">L71*8*K71</f>
        <v>19531.8106396643</v>
      </c>
      <c r="T71" s="0" t="n">
        <f aca="false">IF(N71=0,0,$L71*16)*$B$9</f>
        <v>9200</v>
      </c>
      <c r="U71" s="0" t="n">
        <f aca="false">IF(O71=0,0,$L71*13)*$B$9</f>
        <v>7475</v>
      </c>
      <c r="V71" s="0" t="n">
        <f aca="false">IF(P71=0,0,$M71*24)*$B$9</f>
        <v>4800</v>
      </c>
      <c r="W71" s="0" t="n">
        <f aca="false">IF(Q71=0,0,($L71+$M71)*24)*$B$9</f>
        <v>18600</v>
      </c>
      <c r="X71" s="0" t="n">
        <f aca="false">IF(R71=0,0,$L71*8)*$B$9</f>
        <v>4600</v>
      </c>
    </row>
    <row r="72" customFormat="false" ht="12.75" hidden="false" customHeight="false" outlineLevel="0" collapsed="false">
      <c r="A72" s="61" t="n">
        <f aca="false">Fwd_curves!A102</f>
        <v>37135</v>
      </c>
      <c r="B72" s="0" t="n">
        <f aca="false">IF($A72&lt;$B$5,0,IF($A72&gt;$B$6,0,Fwd_curves!H102))</f>
        <v>4.23127335136074</v>
      </c>
      <c r="C72" s="0" t="n">
        <f aca="false">IF($A72&lt;$B$5,0,IF($A72&gt;$B$6,0,Fwd_curves!J102))</f>
        <v>126.938200540822</v>
      </c>
      <c r="D72" s="0" t="n">
        <f aca="false">IF($A72&lt;$B$5,0,IF($A72&gt;$B$6,0,Fwd_curves!K102))</f>
        <v>170.266439658756</v>
      </c>
      <c r="E72" s="0" t="n">
        <f aca="false">IF($A72&lt;$B$5,0,IF($A72&gt;$B$6,0,Fwd_curves!L102))</f>
        <v>314.032396231156</v>
      </c>
      <c r="F72" s="0" t="n">
        <f aca="false">IF($A72&lt;$B$5,0,IF($A72&gt;$B$6,0,Fwd_curves!M102))</f>
        <v>224.533922775837</v>
      </c>
      <c r="G72" s="0" t="n">
        <f aca="false">IF($A72&lt;$B$5,0,IF($A72&gt;$B$6,0,Fwd_curves!N102))</f>
        <v>17.944708356066</v>
      </c>
      <c r="H72" s="54" t="n">
        <f aca="false">IF($A72&lt;$B$5,0,IF($A72&gt;$B$6,0,Fwd_curves!O102))</f>
        <v>432.07882520235</v>
      </c>
      <c r="I72" s="54" t="n">
        <f aca="false">IF($A72&lt;$B$5,0,IF($A72&gt;$B$6,0,Fwd_curves!P102))</f>
        <v>342.062403285194</v>
      </c>
      <c r="J72" s="0" t="n">
        <f aca="false">IF($A72&lt;$B$5,0,IF($A72&gt;$B$6,0,Fwd_curves!Q102))</f>
        <v>6.17255464574785</v>
      </c>
      <c r="K72" s="0" t="n">
        <f aca="false">IF(B72=0,0,$B$9*B72)</f>
        <v>105.781833784019</v>
      </c>
      <c r="L72" s="56" t="n">
        <f aca="false">external_curves!AB32</f>
        <v>20</v>
      </c>
      <c r="M72" s="56" t="n">
        <f aca="false">external_curves!AA32</f>
        <v>10</v>
      </c>
      <c r="N72" s="138" t="n">
        <f aca="false">(L72*16*$K72)</f>
        <v>33850.1868108859</v>
      </c>
      <c r="O72" s="138" t="n">
        <f aca="false">(L72*13*$K72)</f>
        <v>27503.2767838448</v>
      </c>
      <c r="P72" s="138" t="n">
        <f aca="false">(M72*24*$K72)</f>
        <v>25387.6401081645</v>
      </c>
      <c r="Q72" s="138" t="n">
        <f aca="false">((L72+M72)*K72)*24</f>
        <v>76162.9203244934</v>
      </c>
      <c r="R72" s="0" t="n">
        <f aca="false">L72*8*K72</f>
        <v>16925.093405443</v>
      </c>
      <c r="T72" s="0" t="n">
        <f aca="false">IF(N72=0,0,$L72*16)*$B$9</f>
        <v>8000</v>
      </c>
      <c r="U72" s="0" t="n">
        <f aca="false">IF(O72=0,0,$L72*13)*$B$9</f>
        <v>6500</v>
      </c>
      <c r="V72" s="0" t="n">
        <f aca="false">IF(P72=0,0,$M72*24)*$B$9</f>
        <v>6000</v>
      </c>
      <c r="W72" s="0" t="n">
        <f aca="false">IF(Q72=0,0,($L72+$M72)*24)*$B$9</f>
        <v>18000</v>
      </c>
      <c r="X72" s="0" t="n">
        <f aca="false">IF(R72=0,0,$L72*8)*$B$9</f>
        <v>4000</v>
      </c>
    </row>
    <row r="73" customFormat="false" ht="12.75" hidden="false" customHeight="false" outlineLevel="0" collapsed="false">
      <c r="A73" s="61" t="n">
        <f aca="false">Fwd_curves!A103</f>
        <v>37165</v>
      </c>
      <c r="B73" s="0" t="n">
        <f aca="false">IF($A73&lt;$B$5,0,IF($A73&gt;$B$6,0,Fwd_curves!H103))</f>
        <v>4.21698076214798</v>
      </c>
      <c r="C73" s="0" t="n">
        <f aca="false">IF($A73&lt;$B$5,0,IF($A73&gt;$B$6,0,Fwd_curves!J103))</f>
        <v>126.509422864439</v>
      </c>
      <c r="D73" s="0" t="n">
        <f aca="false">IF($A73&lt;$B$5,0,IF($A73&gt;$B$6,0,Fwd_curves!K103))</f>
        <v>168.679230485919</v>
      </c>
      <c r="E73" s="0" t="n">
        <f aca="false">IF($A73&lt;$B$5,0,IF($A73&gt;$B$6,0,Fwd_curves!L103))</f>
        <v>313.734207948221</v>
      </c>
      <c r="F73" s="0" t="n">
        <f aca="false">IF($A73&lt;$B$5,0,IF($A73&gt;$B$6,0,Fwd_curves!M103))</f>
        <v>229.99776153938</v>
      </c>
      <c r="G73" s="0" t="n">
        <f aca="false">IF($A73&lt;$B$5,0,IF($A73&gt;$B$6,0,Fwd_curves!N103))</f>
        <v>17.9276690256126</v>
      </c>
      <c r="H73" s="54" t="n">
        <f aca="false">IF($A73&lt;$B$5,0,IF($A73&gt;$B$6,0,Fwd_curves!O103))</f>
        <v>339.606516366004</v>
      </c>
      <c r="I73" s="54" t="n">
        <f aca="false">IF($A73&lt;$B$5,0,IF($A73&gt;$B$6,0,Fwd_curves!P103))</f>
        <v>295.141906063814</v>
      </c>
      <c r="J73" s="0" t="n">
        <f aca="false">IF($A73&lt;$B$5,0,IF($A73&gt;$B$6,0,Fwd_curves!Q103))</f>
        <v>6.14672427811771</v>
      </c>
      <c r="K73" s="0" t="n">
        <f aca="false">IF(B73=0,0,$B$9*B73)</f>
        <v>105.424519053699</v>
      </c>
      <c r="L73" s="56" t="n">
        <f aca="false">external_curves!AB33</f>
        <v>23</v>
      </c>
      <c r="M73" s="56" t="n">
        <f aca="false">external_curves!AA33</f>
        <v>8</v>
      </c>
      <c r="N73" s="138" t="n">
        <f aca="false">(L73*16*$K73)</f>
        <v>38796.2230117614</v>
      </c>
      <c r="O73" s="138" t="n">
        <f aca="false">(L73*13*$K73)</f>
        <v>31521.9311970561</v>
      </c>
      <c r="P73" s="138" t="n">
        <f aca="false">(M73*24*$K73)</f>
        <v>20241.5076583103</v>
      </c>
      <c r="Q73" s="138" t="n">
        <f aca="false">((L73+M73)*K73)*24</f>
        <v>78435.8421759524</v>
      </c>
      <c r="R73" s="0" t="n">
        <f aca="false">L73*8*K73</f>
        <v>19398.1115058807</v>
      </c>
      <c r="T73" s="0" t="n">
        <f aca="false">IF(N73=0,0,$L73*16)*$B$9</f>
        <v>9200</v>
      </c>
      <c r="U73" s="0" t="n">
        <f aca="false">IF(O73=0,0,$L73*13)*$B$9</f>
        <v>7475</v>
      </c>
      <c r="V73" s="0" t="n">
        <f aca="false">IF(P73=0,0,$M73*24)*$B$9</f>
        <v>4800</v>
      </c>
      <c r="W73" s="0" t="n">
        <f aca="false">IF(Q73=0,0,($L73+$M73)*24)*$B$9</f>
        <v>18600</v>
      </c>
      <c r="X73" s="0" t="n">
        <f aca="false">IF(R73=0,0,$L73*8)*$B$9</f>
        <v>4600</v>
      </c>
    </row>
    <row r="74" customFormat="false" ht="12.75" hidden="false" customHeight="false" outlineLevel="0" collapsed="false">
      <c r="A74" s="61" t="n">
        <f aca="false">Fwd_curves!A104</f>
        <v>37196</v>
      </c>
      <c r="B74" s="0" t="n">
        <f aca="false">IF($A74&lt;$B$5,0,IF($A74&gt;$B$6,0,Fwd_curves!H104))</f>
        <v>4.20221550315026</v>
      </c>
      <c r="C74" s="0" t="n">
        <f aca="false">IF($A74&lt;$B$5,0,IF($A74&gt;$B$6,0,Fwd_curves!J104))</f>
        <v>138.673111603959</v>
      </c>
      <c r="D74" s="0" t="n">
        <f aca="false">IF($A74&lt;$B$5,0,IF($A74&gt;$B$6,0,Fwd_curves!K104))</f>
        <v>168.08862012601</v>
      </c>
      <c r="E74" s="0" t="n">
        <f aca="false">IF($A74&lt;$B$5,0,IF($A74&gt;$B$6,0,Fwd_curves!L104))</f>
        <v>322.963924656089</v>
      </c>
      <c r="F74" s="0" t="n">
        <f aca="false">IF($A74&lt;$B$5,0,IF($A74&gt;$B$6,0,Fwd_curves!M104))</f>
        <v>236.614978035325</v>
      </c>
      <c r="G74" s="0" t="n">
        <f aca="false">IF($A74&lt;$B$5,0,IF($A74&gt;$B$6,0,Fwd_curves!N104))</f>
        <v>18.4550814089194</v>
      </c>
      <c r="H74" s="54" t="n">
        <f aca="false">IF($A74&lt;$B$5,0,IF($A74&gt;$B$6,0,Fwd_curves!O104))</f>
        <v>313.662541482104</v>
      </c>
      <c r="I74" s="54" t="n">
        <f aca="false">IF($A74&lt;$B$5,0,IF($A74&gt;$B$6,0,Fwd_curves!P104))</f>
        <v>271.033336996122</v>
      </c>
      <c r="J74" s="0" t="n">
        <f aca="false">IF($A74&lt;$B$5,0,IF($A74&gt;$B$6,0,Fwd_curves!Q104))</f>
        <v>6.12024471184594</v>
      </c>
      <c r="K74" s="0" t="n">
        <f aca="false">IF(B74=0,0,$B$9*B74)</f>
        <v>105.055387578757</v>
      </c>
      <c r="L74" s="56" t="n">
        <f aca="false">external_curves!AB34</f>
        <v>22</v>
      </c>
      <c r="M74" s="56" t="n">
        <f aca="false">external_curves!AA34</f>
        <v>8</v>
      </c>
      <c r="N74" s="138" t="n">
        <f aca="false">(L74*16*$K74)</f>
        <v>36979.4964277223</v>
      </c>
      <c r="O74" s="138" t="n">
        <f aca="false">(L74*13*$K74)</f>
        <v>30045.8408475244</v>
      </c>
      <c r="P74" s="138" t="n">
        <f aca="false">(M74*24*$K74)</f>
        <v>20170.6344151213</v>
      </c>
      <c r="Q74" s="138" t="n">
        <f aca="false">((L74+M74)*K74)*24</f>
        <v>75639.8790567047</v>
      </c>
      <c r="R74" s="0" t="n">
        <f aca="false">L74*8*K74</f>
        <v>18489.7482138612</v>
      </c>
      <c r="T74" s="0" t="n">
        <f aca="false">IF(N74=0,0,$L74*16)*$B$9</f>
        <v>8800</v>
      </c>
      <c r="U74" s="0" t="n">
        <f aca="false">IF(O74=0,0,$L74*13)*$B$9</f>
        <v>7150</v>
      </c>
      <c r="V74" s="0" t="n">
        <f aca="false">IF(P74=0,0,$M74*24)*$B$9</f>
        <v>4800</v>
      </c>
      <c r="W74" s="0" t="n">
        <f aca="false">IF(Q74=0,0,($L74+$M74)*24)*$B$9</f>
        <v>18000</v>
      </c>
      <c r="X74" s="0" t="n">
        <f aca="false">IF(R74=0,0,$L74*8)*$B$9</f>
        <v>4400</v>
      </c>
    </row>
    <row r="75" customFormat="false" ht="12.75" hidden="false" customHeight="false" outlineLevel="0" collapsed="false">
      <c r="A75" s="61" t="n">
        <f aca="false">Fwd_curves!A105</f>
        <v>37226</v>
      </c>
      <c r="B75" s="0" t="n">
        <f aca="false">IF($A75&lt;$B$5,0,IF($A75&gt;$B$6,0,Fwd_curves!H105))</f>
        <v>4.18793047570622</v>
      </c>
      <c r="C75" s="0" t="n">
        <f aca="false">IF($A75&lt;$B$5,0,IF($A75&gt;$B$6,0,Fwd_curves!J105))</f>
        <v>138.201705698305</v>
      </c>
      <c r="D75" s="0" t="n">
        <f aca="false">IF($A75&lt;$B$5,0,IF($A75&gt;$B$6,0,Fwd_curves!K105))</f>
        <v>167.517219028249</v>
      </c>
      <c r="E75" s="0" t="n">
        <f aca="false">IF($A75&lt;$B$5,0,IF($A75&gt;$B$6,0,Fwd_curves!L105))</f>
        <v>330.642591142383</v>
      </c>
      <c r="F75" s="0" t="n">
        <f aca="false">IF($A75&lt;$B$5,0,IF($A75&gt;$B$6,0,Fwd_curves!M105))</f>
        <v>234.567109876258</v>
      </c>
      <c r="G75" s="0" t="n">
        <f aca="false">IF($A75&lt;$B$5,0,IF($A75&gt;$B$6,0,Fwd_curves!N105))</f>
        <v>18.8938623509933</v>
      </c>
      <c r="H75" s="54" t="n">
        <f aca="false">IF($A75&lt;$B$5,0,IF($A75&gt;$B$6,0,Fwd_curves!O105))</f>
        <v>312.351863727914</v>
      </c>
      <c r="I75" s="54" t="n">
        <f aca="false">IF($A75&lt;$B$5,0,IF($A75&gt;$B$6,0,Fwd_curves!P105))</f>
        <v>262.930966957117</v>
      </c>
      <c r="J75" s="0" t="n">
        <f aca="false">IF($A75&lt;$B$5,0,IF($A75&gt;$B$6,0,Fwd_curves!Q105))</f>
        <v>6.09467051176419</v>
      </c>
      <c r="K75" s="0" t="n">
        <f aca="false">IF(B75=0,0,$B$9*B75)</f>
        <v>104.698261892655</v>
      </c>
      <c r="L75" s="56" t="n">
        <f aca="false">external_curves!AB35</f>
        <v>21</v>
      </c>
      <c r="M75" s="56" t="n">
        <f aca="false">external_curves!AA35</f>
        <v>10</v>
      </c>
      <c r="N75" s="138" t="n">
        <f aca="false">(L75*16*$K75)</f>
        <v>35178.6159959322</v>
      </c>
      <c r="O75" s="138" t="n">
        <f aca="false">(L75*13*$K75)</f>
        <v>28582.6254966949</v>
      </c>
      <c r="P75" s="138" t="n">
        <f aca="false">(M75*24*$K75)</f>
        <v>25127.5828542373</v>
      </c>
      <c r="Q75" s="138" t="n">
        <f aca="false">((L75+M75)*K75)*24</f>
        <v>77895.5068481356</v>
      </c>
      <c r="R75" s="0" t="n">
        <f aca="false">L75*8*K75</f>
        <v>17589.3079979661</v>
      </c>
      <c r="T75" s="0" t="n">
        <f aca="false">IF(N75=0,0,$L75*16)*$B$9</f>
        <v>8400</v>
      </c>
      <c r="U75" s="0" t="n">
        <f aca="false">IF(O75=0,0,$L75*13)*$B$9</f>
        <v>6825</v>
      </c>
      <c r="V75" s="0" t="n">
        <f aca="false">IF(P75=0,0,$M75*24)*$B$9</f>
        <v>6000</v>
      </c>
      <c r="W75" s="0" t="n">
        <f aca="false">IF(Q75=0,0,($L75+$M75)*24)*$B$9</f>
        <v>18600</v>
      </c>
      <c r="X75" s="0" t="n">
        <f aca="false">IF(R75=0,0,$L75*8)*$B$9</f>
        <v>4200</v>
      </c>
    </row>
    <row r="76" customFormat="false" ht="12.75" hidden="false" customHeight="false" outlineLevel="0" collapsed="false">
      <c r="A76" s="61" t="n">
        <f aca="false">Fwd_curves!A106</f>
        <v>37257</v>
      </c>
      <c r="B76" s="0" t="n">
        <f aca="false">IF($A76&lt;$B$5,0,IF($A76&gt;$B$6,0,Fwd_curves!H106))</f>
        <v>4.17317366094241</v>
      </c>
      <c r="C76" s="0" t="n">
        <f aca="false">IF($A76&lt;$B$5,0,IF($A76&gt;$B$6,0,Fwd_curves!J106))</f>
        <v>140.469025427321</v>
      </c>
      <c r="D76" s="0" t="n">
        <f aca="false">IF($A76&lt;$B$5,0,IF($A76&gt;$B$6,0,Fwd_curves!K106))</f>
        <v>163.880529665208</v>
      </c>
      <c r="E76" s="0" t="n">
        <f aca="false">IF($A76&lt;$B$5,0,IF($A76&gt;$B$6,0,Fwd_curves!L106))</f>
        <v>292.869973083619</v>
      </c>
      <c r="F76" s="0" t="n">
        <f aca="false">IF($A76&lt;$B$5,0,IF($A76&gt;$B$6,0,Fwd_curves!M106))</f>
        <v>221.891817834837</v>
      </c>
      <c r="G76" s="0" t="n">
        <f aca="false">IF($A76&lt;$B$5,0,IF($A76&gt;$B$6,0,Fwd_curves!N106))</f>
        <v>18.8340818703292</v>
      </c>
      <c r="H76" s="54" t="n">
        <f aca="false">IF($A76&lt;$B$5,0,IF($A76&gt;$B$6,0,Fwd_curves!O106))</f>
        <v>230.596149628058</v>
      </c>
      <c r="I76" s="54" t="n">
        <f aca="false">IF($A76&lt;$B$5,0,IF($A76&gt;$B$6,0,Fwd_curves!P106))</f>
        <v>208.818711897904</v>
      </c>
      <c r="J76" s="0" t="n">
        <f aca="false">IF($A76&lt;$B$5,0,IF($A76&gt;$B$6,0,Fwd_curves!Q106))</f>
        <v>6.06831972705415</v>
      </c>
      <c r="K76" s="0" t="n">
        <f aca="false">IF(B76=0,0,$B$9*B76)</f>
        <v>104.32934152356</v>
      </c>
      <c r="L76" s="56" t="n">
        <f aca="false">external_curves!AB36</f>
        <v>23</v>
      </c>
      <c r="M76" s="56" t="n">
        <f aca="false">external_curves!AA36</f>
        <v>8</v>
      </c>
      <c r="N76" s="138" t="n">
        <f aca="false">(L76*16*$K76)</f>
        <v>38393.1976806701</v>
      </c>
      <c r="O76" s="138" t="n">
        <f aca="false">(L76*13*$K76)</f>
        <v>31194.4731155445</v>
      </c>
      <c r="P76" s="138" t="n">
        <f aca="false">(M76*24*$K76)</f>
        <v>20031.2335725235</v>
      </c>
      <c r="Q76" s="138" t="n">
        <f aca="false">((L76+M76)*K76)*24</f>
        <v>77621.0300935287</v>
      </c>
      <c r="R76" s="0" t="n">
        <f aca="false">L76*8*K76</f>
        <v>19196.5988403351</v>
      </c>
      <c r="T76" s="0" t="n">
        <f aca="false">IF(N76=0,0,$L76*16)*$B$9</f>
        <v>9200</v>
      </c>
      <c r="U76" s="0" t="n">
        <f aca="false">IF(O76=0,0,$L76*13)*$B$9</f>
        <v>7475</v>
      </c>
      <c r="V76" s="0" t="n">
        <f aca="false">IF(P76=0,0,$M76*24)*$B$9</f>
        <v>4800</v>
      </c>
      <c r="W76" s="0" t="n">
        <f aca="false">IF(Q76=0,0,($L76+$M76)*24)*$B$9</f>
        <v>18600</v>
      </c>
      <c r="X76" s="0" t="n">
        <f aca="false">IF(R76=0,0,$L76*8)*$B$9</f>
        <v>4600</v>
      </c>
    </row>
    <row r="77" customFormat="false" ht="12.75" hidden="false" customHeight="false" outlineLevel="0" collapsed="false">
      <c r="A77" s="61" t="n">
        <f aca="false">Fwd_curves!A107</f>
        <v>37288</v>
      </c>
      <c r="B77" s="0" t="n">
        <f aca="false">IF($A77&lt;$B$5,0,IF($A77&gt;$B$6,0,Fwd_curves!H107))</f>
        <v>4.15842161840211</v>
      </c>
      <c r="C77" s="0" t="n">
        <f aca="false">IF($A77&lt;$B$5,0,IF($A77&gt;$B$6,0,Fwd_curves!J107))</f>
        <v>127.247701523105</v>
      </c>
      <c r="D77" s="0" t="n">
        <f aca="false">IF($A77&lt;$B$5,0,IF($A77&gt;$B$6,0,Fwd_curves!K107))</f>
        <v>159.059626903881</v>
      </c>
      <c r="E77" s="0" t="n">
        <f aca="false">IF($A77&lt;$B$5,0,IF($A77&gt;$B$6,0,Fwd_curves!L107))</f>
        <v>279.196674777848</v>
      </c>
      <c r="F77" s="0" t="n">
        <f aca="false">IF($A77&lt;$B$5,0,IF($A77&gt;$B$6,0,Fwd_curves!M107))</f>
        <v>208.6934769913</v>
      </c>
      <c r="G77" s="0" t="n">
        <f aca="false">IF($A77&lt;$B$5,0,IF($A77&gt;$B$6,0,Fwd_curves!N107))</f>
        <v>17.9547700821767</v>
      </c>
      <c r="H77" s="54" t="n">
        <f aca="false">IF($A77&lt;$B$5,0,IF($A77&gt;$B$6,0,Fwd_curves!O107))</f>
        <v>217.514109235667</v>
      </c>
      <c r="I77" s="54" t="n">
        <f aca="false">IF($A77&lt;$B$5,0,IF($A77&gt;$B$6,0,Fwd_curves!P107))</f>
        <v>200.682660306716</v>
      </c>
      <c r="J77" s="0" t="n">
        <f aca="false">IF($A77&lt;$B$5,0,IF($A77&gt;$B$6,0,Fwd_curves!Q107))</f>
        <v>6.04205858987963</v>
      </c>
      <c r="K77" s="0" t="n">
        <f aca="false">IF(B77=0,0,$B$9*B77)</f>
        <v>103.960540460053</v>
      </c>
      <c r="L77" s="56" t="n">
        <f aca="false">external_curves!AB37</f>
        <v>20</v>
      </c>
      <c r="M77" s="56" t="n">
        <f aca="false">external_curves!AA37</f>
        <v>8</v>
      </c>
      <c r="N77" s="138" t="n">
        <f aca="false">(L77*16*$K77)</f>
        <v>33267.3729472169</v>
      </c>
      <c r="O77" s="138" t="n">
        <f aca="false">(L77*13*$K77)</f>
        <v>27029.7405196137</v>
      </c>
      <c r="P77" s="138" t="n">
        <f aca="false">(M77*24*$K77)</f>
        <v>19960.4237683301</v>
      </c>
      <c r="Q77" s="138" t="n">
        <f aca="false">((L77+M77)*K77)*24</f>
        <v>69861.4831891554</v>
      </c>
      <c r="R77" s="0" t="n">
        <f aca="false">L77*8*K77</f>
        <v>16633.6864736084</v>
      </c>
      <c r="T77" s="0" t="n">
        <f aca="false">IF(N77=0,0,$L77*16)*$B$9</f>
        <v>8000</v>
      </c>
      <c r="U77" s="0" t="n">
        <f aca="false">IF(O77=0,0,$L77*13)*$B$9</f>
        <v>6500</v>
      </c>
      <c r="V77" s="0" t="n">
        <f aca="false">IF(P77=0,0,$M77*24)*$B$9</f>
        <v>4800</v>
      </c>
      <c r="W77" s="0" t="n">
        <f aca="false">IF(Q77=0,0,($L77+$M77)*24)*$B$9</f>
        <v>16800</v>
      </c>
      <c r="X77" s="0" t="n">
        <f aca="false">IF(R77=0,0,$L77*8)*$B$9</f>
        <v>4000</v>
      </c>
    </row>
    <row r="78" customFormat="false" ht="12.75" hidden="false" customHeight="false" outlineLevel="0" collapsed="false">
      <c r="A78" s="61" t="n">
        <f aca="false">Fwd_curves!A108</f>
        <v>37316</v>
      </c>
      <c r="B78" s="0" t="n">
        <f aca="false">IF($A78&lt;$B$5,0,IF($A78&gt;$B$6,0,Fwd_curves!H108))</f>
        <v>4.14510156281612</v>
      </c>
      <c r="C78" s="0" t="n">
        <f aca="false">IF($A78&lt;$B$5,0,IF($A78&gt;$B$6,0,Fwd_curves!J108))</f>
        <v>131.068111416246</v>
      </c>
      <c r="D78" s="0" t="n">
        <f aca="false">IF($A78&lt;$B$5,0,IF($A78&gt;$B$6,0,Fwd_curves!K108))</f>
        <v>158.550134777716</v>
      </c>
      <c r="E78" s="0" t="n">
        <f aca="false">IF($A78&lt;$B$5,0,IF($A78&gt;$B$6,0,Fwd_curves!L108))</f>
        <v>264.249117869505</v>
      </c>
      <c r="F78" s="0" t="n">
        <f aca="false">IF($A78&lt;$B$5,0,IF($A78&gt;$B$6,0,Fwd_curves!M108))</f>
        <v>200.079541221418</v>
      </c>
      <c r="G78" s="0" t="n">
        <f aca="false">IF($A78&lt;$B$5,0,IF($A78&gt;$B$6,0,Fwd_curves!N108))</f>
        <v>16.9935124031836</v>
      </c>
      <c r="H78" s="54" t="n">
        <f aca="false">IF($A78&lt;$B$5,0,IF($A78&gt;$B$6,0,Fwd_curves!O108))</f>
        <v>204.625274666646</v>
      </c>
      <c r="I78" s="54" t="n">
        <f aca="false">IF($A78&lt;$B$5,0,IF($A78&gt;$B$6,0,Fwd_curves!P108))</f>
        <v>187.379026817607</v>
      </c>
      <c r="J78" s="0" t="n">
        <f aca="false">IF($A78&lt;$B$5,0,IF($A78&gt;$B$6,0,Fwd_curves!Q108))</f>
        <v>6.01839043137194</v>
      </c>
      <c r="K78" s="0" t="n">
        <f aca="false">IF(B78=0,0,$B$9*B78)</f>
        <v>103.627539070403</v>
      </c>
      <c r="L78" s="56" t="n">
        <f aca="false">external_curves!AB38</f>
        <v>21</v>
      </c>
      <c r="M78" s="56" t="n">
        <f aca="false">external_curves!AA38</f>
        <v>10</v>
      </c>
      <c r="N78" s="138" t="n">
        <f aca="false">(L78*16*$K78)</f>
        <v>34818.8531276554</v>
      </c>
      <c r="O78" s="138" t="n">
        <f aca="false">(L78*13*$K78)</f>
        <v>28290.31816622</v>
      </c>
      <c r="P78" s="138" t="n">
        <f aca="false">(M78*24*$K78)</f>
        <v>24870.6093768967</v>
      </c>
      <c r="Q78" s="138" t="n">
        <f aca="false">((L78+M78)*K78)*24</f>
        <v>77098.8890683797</v>
      </c>
      <c r="R78" s="0" t="n">
        <f aca="false">L78*8*K78</f>
        <v>17409.4265638277</v>
      </c>
      <c r="T78" s="0" t="n">
        <f aca="false">IF(N78=0,0,$L78*16)*$B$9</f>
        <v>8400</v>
      </c>
      <c r="U78" s="0" t="n">
        <f aca="false">IF(O78=0,0,$L78*13)*$B$9</f>
        <v>6825</v>
      </c>
      <c r="V78" s="0" t="n">
        <f aca="false">IF(P78=0,0,$M78*24)*$B$9</f>
        <v>6000</v>
      </c>
      <c r="W78" s="0" t="n">
        <f aca="false">IF(Q78=0,0,($L78+$M78)*24)*$B$9</f>
        <v>18600</v>
      </c>
      <c r="X78" s="0" t="n">
        <f aca="false">IF(R78=0,0,$L78*8)*$B$9</f>
        <v>4200</v>
      </c>
    </row>
    <row r="79" customFormat="false" ht="12.75" hidden="false" customHeight="false" outlineLevel="0" collapsed="false">
      <c r="A79" s="61" t="n">
        <f aca="false">Fwd_curves!A109</f>
        <v>37347</v>
      </c>
      <c r="B79" s="0" t="n">
        <f aca="false">IF($A79&lt;$B$5,0,IF($A79&gt;$B$6,0,Fwd_curves!H109))</f>
        <v>4.13035949216401</v>
      </c>
      <c r="C79" s="0" t="n">
        <f aca="false">IF($A79&lt;$B$5,0,IF($A79&gt;$B$6,0,Fwd_curves!J109))</f>
        <v>124.282517119215</v>
      </c>
      <c r="D79" s="0" t="n">
        <f aca="false">IF($A79&lt;$B$5,0,IF($A79&gt;$B$6,0,Fwd_curves!K109))</f>
        <v>157.986250575273</v>
      </c>
      <c r="E79" s="0" t="n">
        <f aca="false">IF($A79&lt;$B$5,0,IF($A79&gt;$B$6,0,Fwd_curves!L109))</f>
        <v>245.013226894777</v>
      </c>
      <c r="F79" s="0" t="n">
        <f aca="false">IF($A79&lt;$B$5,0,IF($A79&gt;$B$6,0,Fwd_curves!M109))</f>
        <v>192.294081931105</v>
      </c>
      <c r="G79" s="0" t="n">
        <f aca="false">IF($A79&lt;$B$5,0,IF($A79&gt;$B$6,0,Fwd_curves!N109))</f>
        <v>15.756477613812</v>
      </c>
      <c r="H79" s="54" t="n">
        <f aca="false">IF($A79&lt;$B$5,0,IF($A79&gt;$B$6,0,Fwd_curves!O109))</f>
        <v>202.244397284178</v>
      </c>
      <c r="I79" s="54" t="n">
        <f aca="false">IF($A79&lt;$B$5,0,IF($A79&gt;$B$6,0,Fwd_curves!P109))</f>
        <v>173.089643961902</v>
      </c>
      <c r="J79" s="0" t="n">
        <f aca="false">IF($A79&lt;$B$5,0,IF($A79&gt;$B$6,0,Fwd_curves!Q109))</f>
        <v>5.99242658619787</v>
      </c>
      <c r="K79" s="0" t="n">
        <f aca="false">IF(B79=0,0,$B$9*B79)</f>
        <v>103.2589873041</v>
      </c>
      <c r="L79" s="56" t="n">
        <f aca="false">external_curves!AB39</f>
        <v>22</v>
      </c>
      <c r="M79" s="56" t="n">
        <f aca="false">external_curves!AA39</f>
        <v>8</v>
      </c>
      <c r="N79" s="138" t="n">
        <f aca="false">(L79*16*$K79)</f>
        <v>36347.1635310433</v>
      </c>
      <c r="O79" s="138" t="n">
        <f aca="false">(L79*13*$K79)</f>
        <v>29532.0703689727</v>
      </c>
      <c r="P79" s="138" t="n">
        <f aca="false">(M79*24*$K79)</f>
        <v>19825.7255623872</v>
      </c>
      <c r="Q79" s="138" t="n">
        <f aca="false">((L79+M79)*K79)*24</f>
        <v>74346.4708589522</v>
      </c>
      <c r="R79" s="0" t="n">
        <f aca="false">L79*8*K79</f>
        <v>18173.5817655216</v>
      </c>
      <c r="T79" s="0" t="n">
        <f aca="false">IF(N79=0,0,$L79*16)*$B$9</f>
        <v>8800</v>
      </c>
      <c r="U79" s="0" t="n">
        <f aca="false">IF(O79=0,0,$L79*13)*$B$9</f>
        <v>7150</v>
      </c>
      <c r="V79" s="0" t="n">
        <f aca="false">IF(P79=0,0,$M79*24)*$B$9</f>
        <v>4800</v>
      </c>
      <c r="W79" s="0" t="n">
        <f aca="false">IF(Q79=0,0,($L79+$M79)*24)*$B$9</f>
        <v>18000</v>
      </c>
      <c r="X79" s="0" t="n">
        <f aca="false">IF(R79=0,0,$L79*8)*$B$9</f>
        <v>4400</v>
      </c>
    </row>
    <row r="80" customFormat="false" ht="12.75" hidden="false" customHeight="false" outlineLevel="0" collapsed="false">
      <c r="A80" s="61" t="n">
        <f aca="false">Fwd_curves!A110</f>
        <v>37377</v>
      </c>
      <c r="B80" s="0" t="n">
        <f aca="false">IF($A80&lt;$B$5,0,IF($A80&gt;$B$6,0,Fwd_curves!H110))</f>
        <v>4.11609840000105</v>
      </c>
      <c r="C80" s="0" t="n">
        <f aca="false">IF($A80&lt;$B$5,0,IF($A80&gt;$B$6,0,Fwd_curves!J110))</f>
        <v>134.349451776034</v>
      </c>
      <c r="D80" s="0" t="n">
        <f aca="false">IF($A80&lt;$B$5,0,IF($A80&gt;$B$6,0,Fwd_curves!K110))</f>
        <v>157.44076380004</v>
      </c>
      <c r="E80" s="0" t="n">
        <f aca="false">IF($A80&lt;$B$5,0,IF($A80&gt;$B$6,0,Fwd_curves!L110))</f>
        <v>237.427881961313</v>
      </c>
      <c r="F80" s="0" t="n">
        <f aca="false">IF($A80&lt;$B$5,0,IF($A80&gt;$B$6,0,Fwd_curves!M110))</f>
        <v>191.29353002441</v>
      </c>
      <c r="G80" s="0" t="n">
        <f aca="false">IF($A80&lt;$B$5,0,IF($A80&gt;$B$6,0,Fwd_curves!N110))</f>
        <v>15.2686740811134</v>
      </c>
      <c r="H80" s="54" t="n">
        <f aca="false">IF($A80&lt;$B$5,0,IF($A80&gt;$B$6,0,Fwd_curves!O110))</f>
        <v>198.424509276725</v>
      </c>
      <c r="I80" s="54" t="n">
        <f aca="false">IF($A80&lt;$B$5,0,IF($A80&gt;$B$6,0,Fwd_curves!P110))</f>
        <v>151.252767864468</v>
      </c>
      <c r="J80" s="0" t="n">
        <f aca="false">IF($A80&lt;$B$5,0,IF($A80&gt;$B$6,0,Fwd_curves!Q110))</f>
        <v>5.9676544143376</v>
      </c>
      <c r="K80" s="0" t="n">
        <f aca="false">IF(B80=0,0,$B$9*B80)</f>
        <v>102.902460000026</v>
      </c>
      <c r="L80" s="56" t="n">
        <f aca="false">external_curves!AB40</f>
        <v>23</v>
      </c>
      <c r="M80" s="56" t="n">
        <f aca="false">external_curves!AA40</f>
        <v>8</v>
      </c>
      <c r="N80" s="138" t="n">
        <f aca="false">(L80*16*$K80)</f>
        <v>37868.1052800096</v>
      </c>
      <c r="O80" s="138" t="n">
        <f aca="false">(L80*13*$K80)</f>
        <v>30767.8355400078</v>
      </c>
      <c r="P80" s="138" t="n">
        <f aca="false">(M80*24*$K80)</f>
        <v>19757.272320005</v>
      </c>
      <c r="Q80" s="138" t="n">
        <f aca="false">((L80+M80)*K80)*24</f>
        <v>76559.4302400195</v>
      </c>
      <c r="R80" s="0" t="n">
        <f aca="false">L80*8*K80</f>
        <v>18934.0526400048</v>
      </c>
      <c r="T80" s="0" t="n">
        <f aca="false">IF(N80=0,0,$L80*16)*$B$9</f>
        <v>9200</v>
      </c>
      <c r="U80" s="0" t="n">
        <f aca="false">IF(O80=0,0,$L80*13)*$B$9</f>
        <v>7475</v>
      </c>
      <c r="V80" s="0" t="n">
        <f aca="false">IF(P80=0,0,$M80*24)*$B$9</f>
        <v>4800</v>
      </c>
      <c r="W80" s="0" t="n">
        <f aca="false">IF(Q80=0,0,($L80+$M80)*24)*$B$9</f>
        <v>18600</v>
      </c>
      <c r="X80" s="0" t="n">
        <f aca="false">IF(R80=0,0,$L80*8)*$B$9</f>
        <v>4600</v>
      </c>
    </row>
    <row r="81" customFormat="false" ht="12.75" hidden="false" customHeight="false" outlineLevel="0" collapsed="false">
      <c r="A81" s="61" t="n">
        <f aca="false">Fwd_curves!A111</f>
        <v>37408</v>
      </c>
      <c r="B81" s="0" t="n">
        <f aca="false">IF($A81&lt;$B$5,0,IF($A81&gt;$B$6,0,Fwd_curves!H111))</f>
        <v>4.10136785666976</v>
      </c>
      <c r="C81" s="0" t="n">
        <f aca="false">IF($A81&lt;$B$5,0,IF($A81&gt;$B$6,0,Fwd_curves!J111))</f>
        <v>133.868646841701</v>
      </c>
      <c r="D81" s="0" t="n">
        <f aca="false">IF($A81&lt;$B$5,0,IF($A81&gt;$B$6,0,Fwd_curves!K111))</f>
        <v>156.877320517618</v>
      </c>
      <c r="E81" s="0" t="n">
        <f aca="false">IF($A81&lt;$B$5,0,IF($A81&gt;$B$6,0,Fwd_curves!L111))</f>
        <v>233.696391387583</v>
      </c>
      <c r="F81" s="0" t="n">
        <f aca="false">IF($A81&lt;$B$5,0,IF($A81&gt;$B$6,0,Fwd_curves!M111))</f>
        <v>185.90609119851</v>
      </c>
      <c r="G81" s="0" t="n">
        <f aca="false">IF($A81&lt;$B$5,0,IF($A81&gt;$B$6,0,Fwd_curves!N111))</f>
        <v>15.0287068416452</v>
      </c>
      <c r="H81" s="54" t="n">
        <f aca="false">IF($A81&lt;$B$5,0,IF($A81&gt;$B$6,0,Fwd_curves!O111))</f>
        <v>203.518797192415</v>
      </c>
      <c r="I81" s="54" t="n">
        <f aca="false">IF($A81&lt;$B$5,0,IF($A81&gt;$B$6,0,Fwd_curves!P111))</f>
        <v>156.542763387905</v>
      </c>
      <c r="J81" s="0" t="n">
        <f aca="false">IF($A81&lt;$B$5,0,IF($A81&gt;$B$6,0,Fwd_curves!Q111))</f>
        <v>5.94215466255228</v>
      </c>
      <c r="K81" s="0" t="n">
        <f aca="false">IF(B81=0,0,$B$9*B81)</f>
        <v>102.534196416744</v>
      </c>
      <c r="L81" s="56" t="n">
        <f aca="false">external_curves!AB41</f>
        <v>20</v>
      </c>
      <c r="M81" s="56" t="n">
        <f aca="false">external_curves!AA41</f>
        <v>10</v>
      </c>
      <c r="N81" s="138" t="n">
        <f aca="false">(L81*16*$K81)</f>
        <v>32810.9428533581</v>
      </c>
      <c r="O81" s="138" t="n">
        <f aca="false">(L81*13*$K81)</f>
        <v>26658.8910683534</v>
      </c>
      <c r="P81" s="138" t="n">
        <f aca="false">(M81*24*$K81)</f>
        <v>24608.2071400185</v>
      </c>
      <c r="Q81" s="138" t="n">
        <f aca="false">((L81+M81)*K81)*24</f>
        <v>73824.6214200556</v>
      </c>
      <c r="R81" s="0" t="n">
        <f aca="false">L81*8*K81</f>
        <v>16405.471426679</v>
      </c>
      <c r="T81" s="0" t="n">
        <f aca="false">IF(N81=0,0,$L81*16)*$B$9</f>
        <v>8000</v>
      </c>
      <c r="U81" s="0" t="n">
        <f aca="false">IF(O81=0,0,$L81*13)*$B$9</f>
        <v>6500</v>
      </c>
      <c r="V81" s="0" t="n">
        <f aca="false">IF(P81=0,0,$M81*24)*$B$9</f>
        <v>6000</v>
      </c>
      <c r="W81" s="0" t="n">
        <f aca="false">IF(Q81=0,0,($L81+$M81)*24)*$B$9</f>
        <v>18000</v>
      </c>
      <c r="X81" s="0" t="n">
        <f aca="false">IF(R81=0,0,$L81*8)*$B$9</f>
        <v>4000</v>
      </c>
    </row>
    <row r="82" customFormat="false" ht="12.75" hidden="false" customHeight="false" outlineLevel="0" collapsed="false">
      <c r="A82" s="61" t="n">
        <f aca="false">Fwd_curves!A112</f>
        <v>37438</v>
      </c>
      <c r="B82" s="0" t="n">
        <f aca="false">IF($A82&lt;$B$5,0,IF($A82&gt;$B$6,0,Fwd_curves!H112))</f>
        <v>4.08479171813399</v>
      </c>
      <c r="C82" s="0" t="n">
        <f aca="false">IF($A82&lt;$B$5,0,IF($A82&gt;$B$6,0,Fwd_curves!J112))</f>
        <v>124.9946265749</v>
      </c>
      <c r="D82" s="0" t="n">
        <f aca="false">IF($A82&lt;$B$5,0,IF($A82&gt;$B$6,0,Fwd_curves!K112))</f>
        <v>159.159824505373</v>
      </c>
      <c r="E82" s="0" t="n">
        <f aca="false">IF($A82&lt;$B$5,0,IF($A82&gt;$B$6,0,Fwd_curves!L112))</f>
        <v>231.795917224817</v>
      </c>
      <c r="F82" s="0" t="n">
        <f aca="false">IF($A82&lt;$B$5,0,IF($A82&gt;$B$6,0,Fwd_curves!M112))</f>
        <v>186.637896684874</v>
      </c>
      <c r="G82" s="0" t="n">
        <f aca="false">IF($A82&lt;$B$5,0,IF($A82&gt;$B$6,0,Fwd_curves!N112))</f>
        <v>14.906489853686</v>
      </c>
      <c r="H82" s="54" t="n">
        <f aca="false">IF($A82&lt;$B$5,0,IF($A82&gt;$B$6,0,Fwd_curves!O112))</f>
        <v>363.705833444922</v>
      </c>
      <c r="I82" s="54" t="n">
        <f aca="false">IF($A82&lt;$B$5,0,IF($A82&gt;$B$6,0,Fwd_curves!P112))</f>
        <v>271.672900478929</v>
      </c>
      <c r="J82" s="0" t="n">
        <f aca="false">IF($A82&lt;$B$5,0,IF($A82&gt;$B$6,0,Fwd_curves!Q112))</f>
        <v>5.91391599097434</v>
      </c>
      <c r="K82" s="0" t="n">
        <f aca="false">IF(B82=0,0,$B$9*B82)</f>
        <v>102.11979295335</v>
      </c>
      <c r="L82" s="56" t="n">
        <f aca="false">external_curves!AB42</f>
        <v>23</v>
      </c>
      <c r="M82" s="56" t="n">
        <f aca="false">external_curves!AA42</f>
        <v>8</v>
      </c>
      <c r="N82" s="138" t="n">
        <f aca="false">(L82*16*$K82)</f>
        <v>37580.0838068327</v>
      </c>
      <c r="O82" s="138" t="n">
        <f aca="false">(L82*13*$K82)</f>
        <v>30533.8180930516</v>
      </c>
      <c r="P82" s="138" t="n">
        <f aca="false">(M82*24*$K82)</f>
        <v>19607.0002470432</v>
      </c>
      <c r="Q82" s="138" t="n">
        <f aca="false">((L82+M82)*K82)*24</f>
        <v>75977.1259572922</v>
      </c>
      <c r="R82" s="0" t="n">
        <f aca="false">L82*8*K82</f>
        <v>18790.0419034164</v>
      </c>
      <c r="T82" s="0" t="n">
        <f aca="false">IF(N82=0,0,$L82*16)*$B$9</f>
        <v>9200</v>
      </c>
      <c r="U82" s="0" t="n">
        <f aca="false">IF(O82=0,0,$L82*13)*$B$9</f>
        <v>7475</v>
      </c>
      <c r="V82" s="0" t="n">
        <f aca="false">IF(P82=0,0,$M82*24)*$B$9</f>
        <v>4800</v>
      </c>
      <c r="W82" s="0" t="n">
        <f aca="false">IF(Q82=0,0,($L82+$M82)*24)*$B$9</f>
        <v>18600</v>
      </c>
      <c r="X82" s="0" t="n">
        <f aca="false">IF(R82=0,0,$L82*8)*$B$9</f>
        <v>4600</v>
      </c>
    </row>
    <row r="83" customFormat="false" ht="12.75" hidden="false" customHeight="false" outlineLevel="0" collapsed="false">
      <c r="A83" s="61" t="n">
        <f aca="false">Fwd_curves!A113</f>
        <v>37469</v>
      </c>
      <c r="B83" s="0" t="n">
        <f aca="false">IF($A83&lt;$B$5,0,IF($A83&gt;$B$6,0,Fwd_curves!H113))</f>
        <v>4.06498082836543</v>
      </c>
      <c r="C83" s="0" t="n">
        <f aca="false">IF($A83&lt;$B$5,0,IF($A83&gt;$B$6,0,Fwd_curves!J113))</f>
        <v>124.388413347982</v>
      </c>
      <c r="D83" s="0" t="n">
        <f aca="false">IF($A83&lt;$B$5,0,IF($A83&gt;$B$6,0,Fwd_curves!K113))</f>
        <v>166.846325104093</v>
      </c>
      <c r="E83" s="0" t="n">
        <f aca="false">IF($A83&lt;$B$5,0,IF($A83&gt;$B$6,0,Fwd_curves!L113))</f>
        <v>230.230486162971</v>
      </c>
      <c r="F83" s="0" t="n">
        <f aca="false">IF($A83&lt;$B$5,0,IF($A83&gt;$B$6,0,Fwd_curves!M113))</f>
        <v>186.79072325416</v>
      </c>
      <c r="G83" s="0" t="n">
        <f aca="false">IF($A83&lt;$B$5,0,IF($A83&gt;$B$6,0,Fwd_curves!N113))</f>
        <v>14.8058190458502</v>
      </c>
      <c r="H83" s="54" t="n">
        <f aca="false">IF($A83&lt;$B$5,0,IF($A83&gt;$B$6,0,Fwd_curves!O113))</f>
        <v>441.04380209008</v>
      </c>
      <c r="I83" s="54" t="n">
        <f aca="false">IF($A83&lt;$B$5,0,IF($A83&gt;$B$6,0,Fwd_curves!P113))</f>
        <v>345.38788270559</v>
      </c>
      <c r="J83" s="0" t="n">
        <f aca="false">IF($A83&lt;$B$5,0,IF($A83&gt;$B$6,0,Fwd_curves!Q113))</f>
        <v>5.88058402786774</v>
      </c>
      <c r="K83" s="0" t="n">
        <f aca="false">IF(B83=0,0,$B$9*B83)</f>
        <v>101.624520709136</v>
      </c>
      <c r="L83" s="56" t="n">
        <f aca="false">external_curves!AB43</f>
        <v>22</v>
      </c>
      <c r="M83" s="56" t="n">
        <f aca="false">external_curves!AA43</f>
        <v>9</v>
      </c>
      <c r="N83" s="138" t="n">
        <f aca="false">(L83*16*$K83)</f>
        <v>35771.8312896158</v>
      </c>
      <c r="O83" s="138" t="n">
        <f aca="false">(L83*13*$K83)</f>
        <v>29064.6129228128</v>
      </c>
      <c r="P83" s="138" t="n">
        <f aca="false">(M83*24*$K83)</f>
        <v>21950.8964731733</v>
      </c>
      <c r="Q83" s="138" t="n">
        <f aca="false">((L83+M83)*K83)*24</f>
        <v>75608.643407597</v>
      </c>
      <c r="R83" s="0" t="n">
        <f aca="false">L83*8*K83</f>
        <v>17885.9156448079</v>
      </c>
      <c r="T83" s="0" t="n">
        <f aca="false">IF(N83=0,0,$L83*16)*$B$9</f>
        <v>8800</v>
      </c>
      <c r="U83" s="0" t="n">
        <f aca="false">IF(O83=0,0,$L83*13)*$B$9</f>
        <v>7150</v>
      </c>
      <c r="V83" s="0" t="n">
        <f aca="false">IF(P83=0,0,$M83*24)*$B$9</f>
        <v>5400</v>
      </c>
      <c r="W83" s="0" t="n">
        <f aca="false">IF(Q83=0,0,($L83+$M83)*24)*$B$9</f>
        <v>18600</v>
      </c>
      <c r="X83" s="0" t="n">
        <f aca="false">IF(R83=0,0,$L83*8)*$B$9</f>
        <v>4400</v>
      </c>
    </row>
    <row r="84" customFormat="false" ht="12.75" hidden="false" customHeight="false" outlineLevel="0" collapsed="false">
      <c r="A84" s="61" t="n">
        <f aca="false">Fwd_curves!A114</f>
        <v>37500</v>
      </c>
      <c r="B84" s="0" t="n">
        <f aca="false">IF($A84&lt;$B$5,0,IF($A84&gt;$B$6,0,Fwd_curves!H114))</f>
        <v>4.04525776345876</v>
      </c>
      <c r="C84" s="0" t="n">
        <f aca="false">IF($A84&lt;$B$5,0,IF($A84&gt;$B$6,0,Fwd_curves!J114))</f>
        <v>123.784887561838</v>
      </c>
      <c r="D84" s="0" t="n">
        <f aca="false">IF($A84&lt;$B$5,0,IF($A84&gt;$B$6,0,Fwd_curves!K114))</f>
        <v>166.036795849612</v>
      </c>
      <c r="E84" s="0" t="n">
        <f aca="false">IF($A84&lt;$B$5,0,IF($A84&gt;$B$6,0,Fwd_curves!L114))</f>
        <v>227.648120092675</v>
      </c>
      <c r="F84" s="0" t="n">
        <f aca="false">IF($A84&lt;$B$5,0,IF($A84&gt;$B$6,0,Fwd_curves!M114))</f>
        <v>184.929968562561</v>
      </c>
      <c r="G84" s="0" t="n">
        <f aca="false">IF($A84&lt;$B$5,0,IF($A84&gt;$B$6,0,Fwd_curves!N114))</f>
        <v>14.6397504882749</v>
      </c>
      <c r="H84" s="54" t="n">
        <f aca="false">IF($A84&lt;$B$5,0,IF($A84&gt;$B$6,0,Fwd_curves!O114))</f>
        <v>377.159452267362</v>
      </c>
      <c r="I84" s="54" t="n">
        <f aca="false">IF($A84&lt;$B$5,0,IF($A84&gt;$B$6,0,Fwd_curves!P114))</f>
        <v>293.857891072135</v>
      </c>
      <c r="J84" s="0" t="n">
        <f aca="false">IF($A84&lt;$B$5,0,IF($A84&gt;$B$6,0,Fwd_curves!Q114))</f>
        <v>5.84743336848623</v>
      </c>
      <c r="K84" s="0" t="n">
        <f aca="false">IF(B84=0,0,$B$9*B84)</f>
        <v>101.131444086469</v>
      </c>
      <c r="L84" s="56" t="n">
        <f aca="false">external_curves!AB44</f>
        <v>21</v>
      </c>
      <c r="M84" s="56" t="n">
        <f aca="false">external_curves!AA44</f>
        <v>9</v>
      </c>
      <c r="N84" s="138" t="n">
        <f aca="false">(L84*16*$K84)</f>
        <v>33980.1652130536</v>
      </c>
      <c r="O84" s="138" t="n">
        <f aca="false">(L84*13*$K84)</f>
        <v>27608.884235606</v>
      </c>
      <c r="P84" s="138" t="n">
        <f aca="false">(M84*24*$K84)</f>
        <v>21844.3919226773</v>
      </c>
      <c r="Q84" s="138" t="n">
        <f aca="false">((L84+M84)*K84)*24</f>
        <v>72814.6397422576</v>
      </c>
      <c r="R84" s="0" t="n">
        <f aca="false">L84*8*K84</f>
        <v>16990.0826065268</v>
      </c>
      <c r="T84" s="0" t="n">
        <f aca="false">IF(N84=0,0,$L84*16)*$B$9</f>
        <v>8400</v>
      </c>
      <c r="U84" s="0" t="n">
        <f aca="false">IF(O84=0,0,$L84*13)*$B$9</f>
        <v>6825</v>
      </c>
      <c r="V84" s="0" t="n">
        <f aca="false">IF(P84=0,0,$M84*24)*$B$9</f>
        <v>5400</v>
      </c>
      <c r="W84" s="0" t="n">
        <f aca="false">IF(Q84=0,0,($L84+$M84)*24)*$B$9</f>
        <v>18000</v>
      </c>
      <c r="X84" s="0" t="n">
        <f aca="false">IF(R84=0,0,$L84*8)*$B$9</f>
        <v>4200</v>
      </c>
    </row>
    <row r="85" customFormat="false" ht="12.75" hidden="false" customHeight="false" outlineLevel="0" collapsed="false">
      <c r="A85" s="61" t="n">
        <f aca="false">Fwd_curves!A115</f>
        <v>37530</v>
      </c>
      <c r="B85" s="0" t="n">
        <f aca="false">IF($A85&lt;$B$5,0,IF($A85&gt;$B$6,0,Fwd_curves!H115))</f>
        <v>4.02625422183379</v>
      </c>
      <c r="C85" s="0" t="n">
        <f aca="false">IF($A85&lt;$B$5,0,IF($A85&gt;$B$6,0,Fwd_curves!J115))</f>
        <v>123.203379188114</v>
      </c>
      <c r="D85" s="0" t="n">
        <f aca="false">IF($A85&lt;$B$5,0,IF($A85&gt;$B$6,0,Fwd_curves!K115))</f>
        <v>164.271172250818</v>
      </c>
      <c r="E85" s="0" t="n">
        <f aca="false">IF($A85&lt;$B$5,0,IF($A85&gt;$B$6,0,Fwd_curves!L115))</f>
        <v>227.854529659433</v>
      </c>
      <c r="F85" s="0" t="n">
        <f aca="false">IF($A85&lt;$B$5,0,IF($A85&gt;$B$6,0,Fwd_curves!M115))</f>
        <v>185.564453975056</v>
      </c>
      <c r="G85" s="0" t="n">
        <f aca="false">IF($A85&lt;$B$5,0,IF($A85&gt;$B$6,0,Fwd_curves!N115))</f>
        <v>14.6530244153976</v>
      </c>
      <c r="H85" s="54" t="n">
        <f aca="false">IF($A85&lt;$B$5,0,IF($A85&gt;$B$6,0,Fwd_curves!O115))</f>
        <v>283.508881521582</v>
      </c>
      <c r="I85" s="54" t="n">
        <f aca="false">IF($A85&lt;$B$5,0,IF($A85&gt;$B$6,0,Fwd_curves!P115))</f>
        <v>245.17616701974</v>
      </c>
      <c r="J85" s="0" t="n">
        <f aca="false">IF($A85&lt;$B$5,0,IF($A85&gt;$B$6,0,Fwd_curves!Q115))</f>
        <v>5.81556680044272</v>
      </c>
      <c r="K85" s="0" t="n">
        <f aca="false">IF(B85=0,0,$B$9*B85)</f>
        <v>100.656355545845</v>
      </c>
      <c r="L85" s="56" t="n">
        <f aca="false">external_curves!AB45</f>
        <v>23</v>
      </c>
      <c r="M85" s="56" t="n">
        <f aca="false">external_curves!AA45</f>
        <v>8</v>
      </c>
      <c r="N85" s="138" t="n">
        <f aca="false">(L85*16*$K85)</f>
        <v>37041.5388408708</v>
      </c>
      <c r="O85" s="138" t="n">
        <f aca="false">(L85*13*$K85)</f>
        <v>30096.2503082076</v>
      </c>
      <c r="P85" s="138" t="n">
        <f aca="false">(M85*24*$K85)</f>
        <v>19326.0202648022</v>
      </c>
      <c r="Q85" s="138" t="n">
        <f aca="false">((L85+M85)*K85)*24</f>
        <v>74888.3285261084</v>
      </c>
      <c r="R85" s="0" t="n">
        <f aca="false">L85*8*K85</f>
        <v>18520.7694204354</v>
      </c>
      <c r="T85" s="0" t="n">
        <f aca="false">IF(N85=0,0,$L85*16)*$B$9</f>
        <v>9200</v>
      </c>
      <c r="U85" s="0" t="n">
        <f aca="false">IF(O85=0,0,$L85*13)*$B$9</f>
        <v>7475</v>
      </c>
      <c r="V85" s="0" t="n">
        <f aca="false">IF(P85=0,0,$M85*24)*$B$9</f>
        <v>4800</v>
      </c>
      <c r="W85" s="0" t="n">
        <f aca="false">IF(Q85=0,0,($L85+$M85)*24)*$B$9</f>
        <v>18600</v>
      </c>
      <c r="X85" s="0" t="n">
        <f aca="false">IF(R85=0,0,$L85*8)*$B$9</f>
        <v>4600</v>
      </c>
    </row>
    <row r="86" customFormat="false" ht="12.75" hidden="false" customHeight="false" outlineLevel="0" collapsed="false">
      <c r="A86" s="61" t="n">
        <f aca="false">Fwd_curves!A116</f>
        <v>37561</v>
      </c>
      <c r="B86" s="0" t="n">
        <f aca="false">IF($A86&lt;$B$5,0,IF($A86&gt;$B$6,0,Fwd_curves!H116))</f>
        <v>4.0067029653797</v>
      </c>
      <c r="C86" s="0" t="n">
        <f aca="false">IF($A86&lt;$B$5,0,IF($A86&gt;$B$6,0,Fwd_curves!J116))</f>
        <v>134.865621814681</v>
      </c>
      <c r="D86" s="0" t="n">
        <f aca="false">IF($A86&lt;$B$5,0,IF($A86&gt;$B$6,0,Fwd_curves!K116))</f>
        <v>163.473480987492</v>
      </c>
      <c r="E86" s="0" t="n">
        <f aca="false">IF($A86&lt;$B$5,0,IF($A86&gt;$B$6,0,Fwd_curves!L116))</f>
        <v>234.108318599716</v>
      </c>
      <c r="F86" s="0" t="n">
        <f aca="false">IF($A86&lt;$B$5,0,IF($A86&gt;$B$6,0,Fwd_curves!M116))</f>
        <v>189.761238066207</v>
      </c>
      <c r="G86" s="0" t="n">
        <f aca="false">IF($A86&lt;$B$5,0,IF($A86&gt;$B$6,0,Fwd_curves!N116))</f>
        <v>15.0551973376023</v>
      </c>
      <c r="H86" s="54" t="n">
        <f aca="false">IF($A86&lt;$B$5,0,IF($A86&gt;$B$6,0,Fwd_curves!O116))</f>
        <v>258.783920906649</v>
      </c>
      <c r="I86" s="54" t="n">
        <f aca="false">IF($A86&lt;$B$5,0,IF($A86&gt;$B$6,0,Fwd_curves!P116))</f>
        <v>223.066599482941</v>
      </c>
      <c r="J86" s="0" t="n">
        <f aca="false">IF($A86&lt;$B$5,0,IF($A86&gt;$B$6,0,Fwd_curves!Q116))</f>
        <v>5.78288091411507</v>
      </c>
      <c r="K86" s="0" t="n">
        <f aca="false">IF(B86=0,0,$B$9*B86)</f>
        <v>100.167574134492</v>
      </c>
      <c r="L86" s="56" t="n">
        <f aca="false">external_curves!AB46</f>
        <v>21</v>
      </c>
      <c r="M86" s="56" t="n">
        <f aca="false">external_curves!AA46</f>
        <v>9</v>
      </c>
      <c r="N86" s="138" t="n">
        <f aca="false">(L86*16*$K86)</f>
        <v>33656.3049091895</v>
      </c>
      <c r="O86" s="138" t="n">
        <f aca="false">(L86*13*$K86)</f>
        <v>27345.7477387164</v>
      </c>
      <c r="P86" s="138" t="n">
        <f aca="false">(M86*24*$K86)</f>
        <v>21636.1960130504</v>
      </c>
      <c r="Q86" s="138" t="n">
        <f aca="false">((L86+M86)*K86)*24</f>
        <v>72120.6533768345</v>
      </c>
      <c r="R86" s="0" t="n">
        <f aca="false">L86*8*K86</f>
        <v>16828.1524545947</v>
      </c>
      <c r="T86" s="0" t="n">
        <f aca="false">IF(N86=0,0,$L86*16)*$B$9</f>
        <v>8400</v>
      </c>
      <c r="U86" s="0" t="n">
        <f aca="false">IF(O86=0,0,$L86*13)*$B$9</f>
        <v>6825</v>
      </c>
      <c r="V86" s="0" t="n">
        <f aca="false">IF(P86=0,0,$M86*24)*$B$9</f>
        <v>5400</v>
      </c>
      <c r="W86" s="0" t="n">
        <f aca="false">IF(Q86=0,0,($L86+$M86)*24)*$B$9</f>
        <v>18000</v>
      </c>
      <c r="X86" s="0" t="n">
        <f aca="false">IF(R86=0,0,$L86*8)*$B$9</f>
        <v>4200</v>
      </c>
    </row>
    <row r="87" customFormat="false" ht="12.75" hidden="false" customHeight="false" outlineLevel="0" collapsed="false">
      <c r="A87" s="61" t="n">
        <f aca="false">Fwd_curves!A117</f>
        <v>37591</v>
      </c>
      <c r="B87" s="0" t="n">
        <f aca="false">IF($A87&lt;$B$5,0,IF($A87&gt;$B$6,0,Fwd_curves!H117))</f>
        <v>3.98786504553264</v>
      </c>
      <c r="C87" s="0" t="n">
        <f aca="false">IF($A87&lt;$B$5,0,IF($A87&gt;$B$6,0,Fwd_curves!J117))</f>
        <v>134.231537432629</v>
      </c>
      <c r="D87" s="0" t="n">
        <f aca="false">IF($A87&lt;$B$5,0,IF($A87&gt;$B$6,0,Fwd_curves!K117))</f>
        <v>162.704893857732</v>
      </c>
      <c r="E87" s="0" t="n">
        <f aca="false">IF($A87&lt;$B$5,0,IF($A87&gt;$B$6,0,Fwd_curves!L117))</f>
        <v>241.339108814032</v>
      </c>
      <c r="F87" s="0" t="n">
        <f aca="false">IF($A87&lt;$B$5,0,IF($A87&gt;$B$6,0,Fwd_curves!M117))</f>
        <v>193.172545650473</v>
      </c>
      <c r="G87" s="0" t="n">
        <f aca="false">IF($A87&lt;$B$5,0,IF($A87&gt;$B$6,0,Fwd_curves!N117))</f>
        <v>15.520199923732</v>
      </c>
      <c r="H87" s="54" t="n">
        <f aca="false">IF($A87&lt;$B$5,0,IF($A87&gt;$B$6,0,Fwd_curves!O117))</f>
        <v>257.376294950229</v>
      </c>
      <c r="I87" s="54" t="n">
        <f aca="false">IF($A87&lt;$B$5,0,IF($A87&gt;$B$6,0,Fwd_curves!P117))</f>
        <v>215.322860561774</v>
      </c>
      <c r="J87" s="0" t="n">
        <f aca="false">IF($A87&lt;$B$5,0,IF($A87&gt;$B$6,0,Fwd_curves!Q117))</f>
        <v>5.75142558547999</v>
      </c>
      <c r="K87" s="0" t="n">
        <f aca="false">IF(B87=0,0,$B$9*B87)</f>
        <v>99.696626138316</v>
      </c>
      <c r="L87" s="56" t="n">
        <f aca="false">external_curves!AB47</f>
        <v>22</v>
      </c>
      <c r="M87" s="56" t="n">
        <f aca="false">external_curves!AA47</f>
        <v>9</v>
      </c>
      <c r="N87" s="138" t="n">
        <f aca="false">(L87*16*$K87)</f>
        <v>35093.2124006872</v>
      </c>
      <c r="O87" s="138" t="n">
        <f aca="false">(L87*13*$K87)</f>
        <v>28513.2350755584</v>
      </c>
      <c r="P87" s="138" t="n">
        <f aca="false">(M87*24*$K87)</f>
        <v>21534.4712458763</v>
      </c>
      <c r="Q87" s="138" t="n">
        <f aca="false">((L87+M87)*K87)*24</f>
        <v>74174.2898469071</v>
      </c>
      <c r="R87" s="0" t="n">
        <f aca="false">L87*8*K87</f>
        <v>17546.6062003436</v>
      </c>
      <c r="T87" s="0" t="n">
        <f aca="false">IF(N87=0,0,$L87*16)*$B$9</f>
        <v>8800</v>
      </c>
      <c r="U87" s="0" t="n">
        <f aca="false">IF(O87=0,0,$L87*13)*$B$9</f>
        <v>7150</v>
      </c>
      <c r="V87" s="0" t="n">
        <f aca="false">IF(P87=0,0,$M87*24)*$B$9</f>
        <v>5400</v>
      </c>
      <c r="W87" s="0" t="n">
        <f aca="false">IF(Q87=0,0,($L87+$M87)*24)*$B$9</f>
        <v>18600</v>
      </c>
      <c r="X87" s="0" t="n">
        <f aca="false">IF(R87=0,0,$L87*8)*$B$9</f>
        <v>4400</v>
      </c>
    </row>
    <row r="88" customFormat="false" ht="12.75" hidden="false" customHeight="false" outlineLevel="0" collapsed="false">
      <c r="A88" s="61" t="n">
        <f aca="false">Fwd_curves!A118</f>
        <v>37622</v>
      </c>
      <c r="B88" s="0" t="n">
        <f aca="false">IF($A88&lt;$B$5,0,IF($A88&gt;$B$6,0,Fwd_curves!H118))</f>
        <v>3.96848426781117</v>
      </c>
      <c r="C88" s="0" t="n">
        <f aca="false">IF($A88&lt;$B$5,0,IF($A88&gt;$B$6,0,Fwd_curves!J118))</f>
        <v>136.250764063614</v>
      </c>
      <c r="D88" s="0" t="n">
        <f aca="false">IF($A88&lt;$B$5,0,IF($A88&gt;$B$6,0,Fwd_curves!K118))</f>
        <v>158.959224740883</v>
      </c>
      <c r="E88" s="0" t="n">
        <f aca="false">IF($A88&lt;$B$5,0,IF($A88&gt;$B$6,0,Fwd_curves!L118))</f>
        <v>235.888069174239</v>
      </c>
      <c r="F88" s="0" t="n">
        <f aca="false">IF($A88&lt;$B$5,0,IF($A88&gt;$B$6,0,Fwd_curves!M118))</f>
        <v>191.393980099563</v>
      </c>
      <c r="G88" s="0" t="n">
        <f aca="false">IF($A88&lt;$B$5,0,IF($A88&gt;$B$6,0,Fwd_curves!N118))</f>
        <v>15.5189519193578</v>
      </c>
      <c r="H88" s="54" t="n">
        <f aca="false">IF($A88&lt;$B$5,0,IF($A88&gt;$B$6,0,Fwd_curves!O118))</f>
        <v>180.149803632236</v>
      </c>
      <c r="I88" s="54" t="n">
        <f aca="false">IF($A88&lt;$B$5,0,IF($A88&gt;$B$6,0,Fwd_curves!P118))</f>
        <v>165.037390509648</v>
      </c>
      <c r="J88" s="0" t="n">
        <f aca="false">IF($A88&lt;$B$5,0,IF($A88&gt;$B$6,0,Fwd_curves!Q118))</f>
        <v>5.71904138515035</v>
      </c>
      <c r="K88" s="0" t="n">
        <f aca="false">IF(B88=0,0,$B$9*B88)</f>
        <v>99.2121066952792</v>
      </c>
      <c r="L88" s="56" t="n">
        <f aca="false">external_curves!AB48</f>
        <v>23</v>
      </c>
      <c r="M88" s="56" t="n">
        <f aca="false">external_curves!AA48</f>
        <v>8</v>
      </c>
      <c r="N88" s="138" t="n">
        <f aca="false">(L88*16*$K88)</f>
        <v>36510.0552638627</v>
      </c>
      <c r="O88" s="138" t="n">
        <f aca="false">(L88*13*$K88)</f>
        <v>29664.4199018885</v>
      </c>
      <c r="P88" s="138" t="n">
        <f aca="false">(M88*24*$K88)</f>
        <v>19048.7244854936</v>
      </c>
      <c r="Q88" s="138" t="n">
        <f aca="false">((L88+M88)*K88)*24</f>
        <v>73813.8073812877</v>
      </c>
      <c r="R88" s="0" t="n">
        <f aca="false">L88*8*K88</f>
        <v>18255.0276319314</v>
      </c>
      <c r="T88" s="0" t="n">
        <f aca="false">IF(N88=0,0,$L88*16)*$B$9</f>
        <v>9200</v>
      </c>
      <c r="U88" s="0" t="n">
        <f aca="false">IF(O88=0,0,$L88*13)*$B$9</f>
        <v>7475</v>
      </c>
      <c r="V88" s="0" t="n">
        <f aca="false">IF(P88=0,0,$M88*24)*$B$9</f>
        <v>4800</v>
      </c>
      <c r="W88" s="0" t="n">
        <f aca="false">IF(Q88=0,0,($L88+$M88)*24)*$B$9</f>
        <v>18600</v>
      </c>
      <c r="X88" s="0" t="n">
        <f aca="false">IF(R88=0,0,$L88*8)*$B$9</f>
        <v>4600</v>
      </c>
    </row>
    <row r="89" customFormat="false" ht="12.75" hidden="false" customHeight="false" outlineLevel="0" collapsed="false">
      <c r="A89" s="61" t="n">
        <f aca="false">Fwd_curves!A119</f>
        <v>37653</v>
      </c>
      <c r="B89" s="0" t="n">
        <f aca="false">IF($A89&lt;$B$5,0,IF($A89&gt;$B$6,0,Fwd_curves!H119))</f>
        <v>3.94918962000445</v>
      </c>
      <c r="C89" s="0" t="n">
        <f aca="false">IF($A89&lt;$B$5,0,IF($A89&gt;$B$6,0,Fwd_curves!J119))</f>
        <v>123.262106419579</v>
      </c>
      <c r="D89" s="0" t="n">
        <f aca="false">IF($A89&lt;$B$5,0,IF($A89&gt;$B$6,0,Fwd_curves!K119))</f>
        <v>154.077633024474</v>
      </c>
      <c r="E89" s="0" t="n">
        <f aca="false">IF($A89&lt;$B$5,0,IF($A89&gt;$B$6,0,Fwd_curves!L119))</f>
        <v>223.976713631719</v>
      </c>
      <c r="F89" s="0" t="n">
        <f aca="false">IF($A89&lt;$B$5,0,IF($A89&gt;$B$6,0,Fwd_curves!M119))</f>
        <v>180.025879360091</v>
      </c>
      <c r="G89" s="0" t="n">
        <f aca="false">IF($A89&lt;$B$5,0,IF($A89&gt;$B$6,0,Fwd_curves!N119))</f>
        <v>14.7353101073499</v>
      </c>
      <c r="H89" s="54" t="n">
        <f aca="false">IF($A89&lt;$B$5,0,IF($A89&gt;$B$6,0,Fwd_curves!O119))</f>
        <v>167.759425111421</v>
      </c>
      <c r="I89" s="54" t="n">
        <f aca="false">IF($A89&lt;$B$5,0,IF($A89&gt;$B$6,0,Fwd_curves!P119))</f>
        <v>156.589003342501</v>
      </c>
      <c r="J89" s="0" t="n">
        <f aca="false">IF($A89&lt;$B$5,0,IF($A89&gt;$B$6,0,Fwd_curves!Q119))</f>
        <v>5.6867601732685</v>
      </c>
      <c r="K89" s="0" t="n">
        <f aca="false">IF(B89=0,0,$B$9*B89)</f>
        <v>98.7297405001112</v>
      </c>
      <c r="L89" s="56" t="n">
        <f aca="false">external_curves!AB49</f>
        <v>20</v>
      </c>
      <c r="M89" s="56" t="n">
        <f aca="false">external_curves!AA49</f>
        <v>8</v>
      </c>
      <c r="N89" s="138" t="n">
        <f aca="false">(L89*16*$K89)</f>
        <v>31593.5169600356</v>
      </c>
      <c r="O89" s="138" t="n">
        <f aca="false">(L89*13*$K89)</f>
        <v>25669.7325300289</v>
      </c>
      <c r="P89" s="138" t="n">
        <f aca="false">(M89*24*$K89)</f>
        <v>18956.1101760214</v>
      </c>
      <c r="Q89" s="138" t="n">
        <f aca="false">((L89+M89)*K89)*24</f>
        <v>66346.3856160747</v>
      </c>
      <c r="R89" s="0" t="n">
        <f aca="false">L89*8*K89</f>
        <v>15796.7584800178</v>
      </c>
      <c r="T89" s="0" t="n">
        <f aca="false">IF(N89=0,0,$L89*16)*$B$9</f>
        <v>8000</v>
      </c>
      <c r="U89" s="0" t="n">
        <f aca="false">IF(O89=0,0,$L89*13)*$B$9</f>
        <v>6500</v>
      </c>
      <c r="V89" s="0" t="n">
        <f aca="false">IF(P89=0,0,$M89*24)*$B$9</f>
        <v>4800</v>
      </c>
      <c r="W89" s="0" t="n">
        <f aca="false">IF(Q89=0,0,($L89+$M89)*24)*$B$9</f>
        <v>16800</v>
      </c>
      <c r="X89" s="0" t="n">
        <f aca="false">IF(R89=0,0,$L89*8)*$B$9</f>
        <v>4000</v>
      </c>
    </row>
    <row r="90" customFormat="false" ht="12.75" hidden="false" customHeight="false" outlineLevel="0" collapsed="false">
      <c r="A90" s="61" t="n">
        <f aca="false">Fwd_curves!A120</f>
        <v>37681</v>
      </c>
      <c r="B90" s="0" t="n">
        <f aca="false">IF($A90&lt;$B$5,0,IF($A90&gt;$B$6,0,Fwd_curves!H120))</f>
        <v>3.93183594379888</v>
      </c>
      <c r="C90" s="0" t="n">
        <f aca="false">IF($A90&lt;$B$5,0,IF($A90&gt;$B$6,0,Fwd_curves!J120))</f>
        <v>126.811145593779</v>
      </c>
      <c r="D90" s="0" t="n">
        <f aca="false">IF($A90&lt;$B$5,0,IF($A90&gt;$B$6,0,Fwd_curves!K120))</f>
        <v>153.400579347313</v>
      </c>
      <c r="E90" s="0" t="n">
        <f aca="false">IF($A90&lt;$B$5,0,IF($A90&gt;$B$6,0,Fwd_curves!L120))</f>
        <v>211.741719738186</v>
      </c>
      <c r="F90" s="0" t="n">
        <f aca="false">IF($A90&lt;$B$5,0,IF($A90&gt;$B$6,0,Fwd_curves!M120))</f>
        <v>173.744125450458</v>
      </c>
      <c r="G90" s="0" t="n">
        <f aca="false">IF($A90&lt;$B$5,0,IF($A90&gt;$B$6,0,Fwd_curves!N120))</f>
        <v>13.9303762985649</v>
      </c>
      <c r="H90" s="54" t="n">
        <f aca="false">IF($A90&lt;$B$5,0,IF($A90&gt;$B$6,0,Fwd_curves!O120))</f>
        <v>155.588207454819</v>
      </c>
      <c r="I90" s="54" t="n">
        <f aca="false">IF($A90&lt;$B$5,0,IF($A90&gt;$B$6,0,Fwd_curves!P120))</f>
        <v>144.135820337177</v>
      </c>
      <c r="J90" s="0" t="n">
        <f aca="false">IF($A90&lt;$B$5,0,IF($A90&gt;$B$6,0,Fwd_curves!Q120))</f>
        <v>5.65775299835706</v>
      </c>
      <c r="K90" s="0" t="n">
        <f aca="false">IF(B90=0,0,$B$9*B90)</f>
        <v>98.295898594972</v>
      </c>
      <c r="L90" s="56" t="n">
        <f aca="false">external_curves!AB50</f>
        <v>21</v>
      </c>
      <c r="M90" s="56" t="n">
        <f aca="false">external_curves!AA50</f>
        <v>10</v>
      </c>
      <c r="N90" s="138" t="n">
        <f aca="false">(L90*16*$K90)</f>
        <v>33027.4219279106</v>
      </c>
      <c r="O90" s="138" t="n">
        <f aca="false">(L90*13*$K90)</f>
        <v>26834.7803164274</v>
      </c>
      <c r="P90" s="138" t="n">
        <f aca="false">(M90*24*$K90)</f>
        <v>23591.0156627933</v>
      </c>
      <c r="Q90" s="138" t="n">
        <f aca="false">((L90+M90)*K90)*24</f>
        <v>73132.1485546592</v>
      </c>
      <c r="R90" s="0" t="n">
        <f aca="false">L90*8*K90</f>
        <v>16513.7109639553</v>
      </c>
      <c r="T90" s="0" t="n">
        <f aca="false">IF(N90=0,0,$L90*16)*$B$9</f>
        <v>8400</v>
      </c>
      <c r="U90" s="0" t="n">
        <f aca="false">IF(O90=0,0,$L90*13)*$B$9</f>
        <v>6825</v>
      </c>
      <c r="V90" s="0" t="n">
        <f aca="false">IF(P90=0,0,$M90*24)*$B$9</f>
        <v>6000</v>
      </c>
      <c r="W90" s="0" t="n">
        <f aca="false">IF(Q90=0,0,($L90+$M90)*24)*$B$9</f>
        <v>18600</v>
      </c>
      <c r="X90" s="0" t="n">
        <f aca="false">IF(R90=0,0,$L90*8)*$B$9</f>
        <v>4200</v>
      </c>
    </row>
    <row r="91" customFormat="false" ht="12.75" hidden="false" customHeight="false" outlineLevel="0" collapsed="false">
      <c r="A91" s="61" t="n">
        <f aca="false">Fwd_curves!A121</f>
        <v>37712</v>
      </c>
      <c r="B91" s="0" t="n">
        <f aca="false">IF($A91&lt;$B$5,0,IF($A91&gt;$B$6,0,Fwd_curves!H121))</f>
        <v>3.91270428211901</v>
      </c>
      <c r="C91" s="0" t="n">
        <f aca="false">IF($A91&lt;$B$5,0,IF($A91&gt;$B$6,0,Fwd_curves!J121))</f>
        <v>120.08793728594</v>
      </c>
      <c r="D91" s="0" t="n">
        <f aca="false">IF($A91&lt;$B$5,0,IF($A91&gt;$B$6,0,Fwd_curves!K121))</f>
        <v>152.654157566873</v>
      </c>
      <c r="E91" s="0" t="n">
        <f aca="false">IF($A91&lt;$B$5,0,IF($A91&gt;$B$6,0,Fwd_curves!L121))</f>
        <v>193.402006431365</v>
      </c>
      <c r="F91" s="0" t="n">
        <f aca="false">IF($A91&lt;$B$5,0,IF($A91&gt;$B$6,0,Fwd_curves!M121))</f>
        <v>164.614696498619</v>
      </c>
      <c r="G91" s="0" t="n">
        <f aca="false">IF($A91&lt;$B$5,0,IF($A91&gt;$B$6,0,Fwd_curves!N121))</f>
        <v>12.7238162125898</v>
      </c>
      <c r="H91" s="54" t="n">
        <f aca="false">IF($A91&lt;$B$5,0,IF($A91&gt;$B$6,0,Fwd_curves!O121))</f>
        <v>153.307044024207</v>
      </c>
      <c r="I91" s="54" t="n">
        <f aca="false">IF($A91&lt;$B$5,0,IF($A91&gt;$B$6,0,Fwd_curves!P121))</f>
        <v>130.498581483417</v>
      </c>
      <c r="J91" s="0" t="n">
        <f aca="false">IF($A91&lt;$B$5,0,IF($A91&gt;$B$6,0,Fwd_curves!Q121))</f>
        <v>5.62594656969568</v>
      </c>
      <c r="K91" s="0" t="n">
        <f aca="false">IF(B91=0,0,$B$9*B91)</f>
        <v>97.8176070529752</v>
      </c>
      <c r="L91" s="56" t="n">
        <f aca="false">external_curves!AB51</f>
        <v>22</v>
      </c>
      <c r="M91" s="56" t="n">
        <f aca="false">external_curves!AA51</f>
        <v>8</v>
      </c>
      <c r="N91" s="138" t="n">
        <f aca="false">(L91*16*$K91)</f>
        <v>34431.7976826473</v>
      </c>
      <c r="O91" s="138" t="n">
        <f aca="false">(L91*13*$K91)</f>
        <v>27975.8356171509</v>
      </c>
      <c r="P91" s="138" t="n">
        <f aca="false">(M91*24*$K91)</f>
        <v>18780.9805541712</v>
      </c>
      <c r="Q91" s="138" t="n">
        <f aca="false">((L91+M91)*K91)*24</f>
        <v>70428.6770781421</v>
      </c>
      <c r="R91" s="0" t="n">
        <f aca="false">L91*8*K91</f>
        <v>17215.8988413236</v>
      </c>
      <c r="T91" s="0" t="n">
        <f aca="false">IF(N91=0,0,$L91*16)*$B$9</f>
        <v>8800</v>
      </c>
      <c r="U91" s="0" t="n">
        <f aca="false">IF(O91=0,0,$L91*13)*$B$9</f>
        <v>7150</v>
      </c>
      <c r="V91" s="0" t="n">
        <f aca="false">IF(P91=0,0,$M91*24)*$B$9</f>
        <v>4800</v>
      </c>
      <c r="W91" s="0" t="n">
        <f aca="false">IF(Q91=0,0,($L91+$M91)*24)*$B$9</f>
        <v>18000</v>
      </c>
      <c r="X91" s="0" t="n">
        <f aca="false">IF(R91=0,0,$L91*8)*$B$9</f>
        <v>4400</v>
      </c>
    </row>
    <row r="92" customFormat="false" ht="12.75" hidden="false" customHeight="false" outlineLevel="0" collapsed="false">
      <c r="A92" s="61" t="n">
        <f aca="false">Fwd_curves!A122</f>
        <v>37742</v>
      </c>
      <c r="B92" s="0" t="n">
        <f aca="false">IF($A92&lt;$B$5,0,IF($A92&gt;$B$6,0,Fwd_curves!H122))</f>
        <v>3.89427084438037</v>
      </c>
      <c r="C92" s="0" t="n">
        <f aca="false">IF($A92&lt;$B$5,0,IF($A92&gt;$B$6,0,Fwd_curves!J122))</f>
        <v>129.651180367787</v>
      </c>
      <c r="D92" s="0" t="n">
        <f aca="false">IF($A92&lt;$B$5,0,IF($A92&gt;$B$6,0,Fwd_curves!K122))</f>
        <v>151.9349769935</v>
      </c>
      <c r="E92" s="0" t="n">
        <f aca="false">IF($A92&lt;$B$5,0,IF($A92&gt;$B$6,0,Fwd_curves!L122))</f>
        <v>190.114807845753</v>
      </c>
      <c r="F92" s="0" t="n">
        <f aca="false">IF($A92&lt;$B$5,0,IF($A92&gt;$B$6,0,Fwd_curves!M122))</f>
        <v>164.727117119666</v>
      </c>
      <c r="G92" s="0" t="n">
        <f aca="false">IF($A92&lt;$B$5,0,IF($A92&gt;$B$6,0,Fwd_curves!N122))</f>
        <v>12.5075531477469</v>
      </c>
      <c r="H92" s="54" t="n">
        <f aca="false">IF($A92&lt;$B$5,0,IF($A92&gt;$B$6,0,Fwd_curves!O122))</f>
        <v>149.680418381252</v>
      </c>
      <c r="I92" s="54" t="n">
        <f aca="false">IF($A92&lt;$B$5,0,IF($A92&gt;$B$6,0,Fwd_curves!P122))</f>
        <v>110.744857836596</v>
      </c>
      <c r="J92" s="0" t="n">
        <f aca="false">IF($A92&lt;$B$5,0,IF($A92&gt;$B$6,0,Fwd_curves!Q122))</f>
        <v>5.59552965911221</v>
      </c>
      <c r="K92" s="0" t="n">
        <f aca="false">IF(B92=0,0,$B$9*B92)</f>
        <v>97.3567711095093</v>
      </c>
      <c r="L92" s="56" t="n">
        <f aca="false">external_curves!AB52</f>
        <v>22</v>
      </c>
      <c r="M92" s="56" t="n">
        <f aca="false">external_curves!AA52</f>
        <v>9</v>
      </c>
      <c r="N92" s="138" t="n">
        <f aca="false">(L92*16*$K92)</f>
        <v>34269.5834305473</v>
      </c>
      <c r="O92" s="138" t="n">
        <f aca="false">(L92*13*$K92)</f>
        <v>27844.0365373197</v>
      </c>
      <c r="P92" s="138" t="n">
        <f aca="false">(M92*24*$K92)</f>
        <v>21029.062559654</v>
      </c>
      <c r="Q92" s="138" t="n">
        <f aca="false">((L92+M92)*K92)*24</f>
        <v>72433.4377054749</v>
      </c>
      <c r="R92" s="0" t="n">
        <f aca="false">L92*8*K92</f>
        <v>17134.7917152736</v>
      </c>
      <c r="T92" s="0" t="n">
        <f aca="false">IF(N92=0,0,$L92*16)*$B$9</f>
        <v>8800</v>
      </c>
      <c r="U92" s="0" t="n">
        <f aca="false">IF(O92=0,0,$L92*13)*$B$9</f>
        <v>7150</v>
      </c>
      <c r="V92" s="0" t="n">
        <f aca="false">IF(P92=0,0,$M92*24)*$B$9</f>
        <v>5400</v>
      </c>
      <c r="W92" s="0" t="n">
        <f aca="false">IF(Q92=0,0,($L92+$M92)*24)*$B$9</f>
        <v>18600</v>
      </c>
      <c r="X92" s="0" t="n">
        <f aca="false">IF(R92=0,0,$L92*8)*$B$9</f>
        <v>4400</v>
      </c>
    </row>
    <row r="93" customFormat="false" ht="12.75" hidden="false" customHeight="false" outlineLevel="0" collapsed="false">
      <c r="A93" s="61" t="n">
        <f aca="false">Fwd_curves!A123</f>
        <v>37773</v>
      </c>
      <c r="B93" s="0" t="n">
        <f aca="false">IF($A93&lt;$B$5,0,IF($A93&gt;$B$6,0,Fwd_curves!H123))</f>
        <v>3.8753064069222</v>
      </c>
      <c r="C93" s="0" t="n">
        <f aca="false">IF($A93&lt;$B$5,0,IF($A93&gt;$B$6,0,Fwd_curves!J123))</f>
        <v>129.019801144379</v>
      </c>
      <c r="D93" s="0" t="n">
        <f aca="false">IF($A93&lt;$B$5,0,IF($A93&gt;$B$6,0,Fwd_curves!K123))</f>
        <v>151.19507946607</v>
      </c>
      <c r="E93" s="0" t="n">
        <f aca="false">IF($A93&lt;$B$5,0,IF($A93&gt;$B$6,0,Fwd_curves!L123))</f>
        <v>189.293107299643</v>
      </c>
      <c r="F93" s="0" t="n">
        <f aca="false">IF($A93&lt;$B$5,0,IF($A93&gt;$B$6,0,Fwd_curves!M123))</f>
        <v>163.799927513343</v>
      </c>
      <c r="G93" s="0" t="n">
        <f aca="false">IF($A93&lt;$B$5,0,IF($A93&gt;$B$6,0,Fwd_curves!N123))</f>
        <v>12.4534939012923</v>
      </c>
      <c r="H93" s="54" t="n">
        <f aca="false">IF($A93&lt;$B$5,0,IF($A93&gt;$B$6,0,Fwd_curves!O123))</f>
        <v>154.408884801013</v>
      </c>
      <c r="I93" s="54" t="n">
        <f aca="false">IF($A93&lt;$B$5,0,IF($A93&gt;$B$6,0,Fwd_curves!P123))</f>
        <v>115.134312600876</v>
      </c>
      <c r="J93" s="0" t="n">
        <f aca="false">IF($A93&lt;$B$5,0,IF($A93&gt;$B$6,0,Fwd_curves!Q123))</f>
        <v>5.56428413697346</v>
      </c>
      <c r="K93" s="0" t="n">
        <f aca="false">IF(B93=0,0,$B$9*B93)</f>
        <v>96.8826601730549</v>
      </c>
      <c r="L93" s="56" t="n">
        <f aca="false">external_curves!AB53</f>
        <v>21</v>
      </c>
      <c r="M93" s="56" t="n">
        <f aca="false">external_curves!AA53</f>
        <v>9</v>
      </c>
      <c r="N93" s="138" t="n">
        <f aca="false">(L93*16*$K93)</f>
        <v>32552.5738181465</v>
      </c>
      <c r="O93" s="138" t="n">
        <f aca="false">(L93*13*$K93)</f>
        <v>26448.966227244</v>
      </c>
      <c r="P93" s="138" t="n">
        <f aca="false">(M93*24*$K93)</f>
        <v>20926.6545973799</v>
      </c>
      <c r="Q93" s="138" t="n">
        <f aca="false">((L93+M93)*K93)*24</f>
        <v>69755.5153245996</v>
      </c>
      <c r="R93" s="0" t="n">
        <f aca="false">L93*8*K93</f>
        <v>16276.2869090732</v>
      </c>
      <c r="T93" s="0" t="n">
        <f aca="false">IF(N93=0,0,$L93*16)*$B$9</f>
        <v>8400</v>
      </c>
      <c r="U93" s="0" t="n">
        <f aca="false">IF(O93=0,0,$L93*13)*$B$9</f>
        <v>6825</v>
      </c>
      <c r="V93" s="0" t="n">
        <f aca="false">IF(P93=0,0,$M93*24)*$B$9</f>
        <v>5400</v>
      </c>
      <c r="W93" s="0" t="n">
        <f aca="false">IF(Q93=0,0,($L93+$M93)*24)*$B$9</f>
        <v>18000</v>
      </c>
      <c r="X93" s="0" t="n">
        <f aca="false">IF(R93=0,0,$L93*8)*$B$9</f>
        <v>4200</v>
      </c>
    </row>
    <row r="94" customFormat="false" ht="12.75" hidden="false" customHeight="false" outlineLevel="0" collapsed="false">
      <c r="A94" s="61" t="n">
        <f aca="false">Fwd_curves!A124</f>
        <v>37803</v>
      </c>
      <c r="B94" s="0" t="n">
        <f aca="false">IF($A94&lt;$B$5,0,IF($A94&gt;$B$6,0,Fwd_curves!H124))</f>
        <v>3.85678974210756</v>
      </c>
      <c r="C94" s="0" t="n">
        <f aca="false">IF($A94&lt;$B$5,0,IF($A94&gt;$B$6,0,Fwd_curves!J124))</f>
        <v>120.378121430661</v>
      </c>
      <c r="D94" s="0" t="n">
        <f aca="false">IF($A94&lt;$B$5,0,IF($A94&gt;$B$6,0,Fwd_curves!K124))</f>
        <v>153.281474621709</v>
      </c>
      <c r="E94" s="0" t="n">
        <f aca="false">IF($A94&lt;$B$5,0,IF($A94&gt;$B$6,0,Fwd_curves!L124))</f>
        <v>196.176974148282</v>
      </c>
      <c r="F94" s="0" t="n">
        <f aca="false">IF($A94&lt;$B$5,0,IF($A94&gt;$B$6,0,Fwd_curves!M124))</f>
        <v>166.361214996206</v>
      </c>
      <c r="G94" s="0" t="n">
        <f aca="false">IF($A94&lt;$B$5,0,IF($A94&gt;$B$6,0,Fwd_curves!N124))</f>
        <v>12.9063798781765</v>
      </c>
      <c r="H94" s="54" t="n">
        <f aca="false">IF($A94&lt;$B$5,0,IF($A94&gt;$B$6,0,Fwd_curves!O124))</f>
        <v>309.754861510714</v>
      </c>
      <c r="I94" s="54" t="n">
        <f aca="false">IF($A94&lt;$B$5,0,IF($A94&gt;$B$6,0,Fwd_curves!P124))</f>
        <v>226.842957861518</v>
      </c>
      <c r="J94" s="0" t="n">
        <f aca="false">IF($A94&lt;$B$5,0,IF($A94&gt;$B$6,0,Fwd_curves!Q124))</f>
        <v>5.53380726236202</v>
      </c>
      <c r="K94" s="0" t="n">
        <f aca="false">IF(B94=0,0,$B$9*B94)</f>
        <v>96.4197435526891</v>
      </c>
      <c r="L94" s="56" t="n">
        <f aca="false">external_curves!AB54</f>
        <v>23</v>
      </c>
      <c r="M94" s="56" t="n">
        <f aca="false">external_curves!AA54</f>
        <v>8</v>
      </c>
      <c r="N94" s="138" t="n">
        <f aca="false">(L94*16*$K94)</f>
        <v>35482.4656273896</v>
      </c>
      <c r="O94" s="138" t="n">
        <f aca="false">(L94*13*$K94)</f>
        <v>28829.503322254</v>
      </c>
      <c r="P94" s="138" t="n">
        <f aca="false">(M94*24*$K94)</f>
        <v>18512.5907621163</v>
      </c>
      <c r="Q94" s="138" t="n">
        <f aca="false">((L94+M94)*K94)*24</f>
        <v>71736.2892032007</v>
      </c>
      <c r="R94" s="0" t="n">
        <f aca="false">L94*8*K94</f>
        <v>17741.2328136948</v>
      </c>
      <c r="T94" s="0" t="n">
        <f aca="false">IF(N94=0,0,$L94*16)*$B$9</f>
        <v>9200</v>
      </c>
      <c r="U94" s="0" t="n">
        <f aca="false">IF(O94=0,0,$L94*13)*$B$9</f>
        <v>7475</v>
      </c>
      <c r="V94" s="0" t="n">
        <f aca="false">IF(P94=0,0,$M94*24)*$B$9</f>
        <v>4800</v>
      </c>
      <c r="W94" s="0" t="n">
        <f aca="false">IF(Q94=0,0,($L94+$M94)*24)*$B$9</f>
        <v>18600</v>
      </c>
      <c r="X94" s="0" t="n">
        <f aca="false">IF(R94=0,0,$L94*8)*$B$9</f>
        <v>4600</v>
      </c>
    </row>
    <row r="95" customFormat="false" ht="12.75" hidden="false" customHeight="false" outlineLevel="0" collapsed="false">
      <c r="A95" s="61" t="n">
        <f aca="false">Fwd_curves!A125</f>
        <v>37834</v>
      </c>
      <c r="B95" s="0" t="n">
        <f aca="false">IF($A95&lt;$B$5,0,IF($A95&gt;$B$6,0,Fwd_curves!H125))</f>
        <v>3.83749263503742</v>
      </c>
      <c r="C95" s="0" t="n">
        <f aca="false">IF($A95&lt;$B$5,0,IF($A95&gt;$B$6,0,Fwd_curves!J125))</f>
        <v>119.775820124788</v>
      </c>
      <c r="D95" s="0" t="n">
        <f aca="false">IF($A95&lt;$B$5,0,IF($A95&gt;$B$6,0,Fwd_curves!K125))</f>
        <v>160.659300060716</v>
      </c>
      <c r="E95" s="0" t="n">
        <f aca="false">IF($A95&lt;$B$5,0,IF($A95&gt;$B$6,0,Fwd_curves!L125))</f>
        <v>194.814716067602</v>
      </c>
      <c r="F95" s="0" t="n">
        <f aca="false">IF($A95&lt;$B$5,0,IF($A95&gt;$B$6,0,Fwd_curves!M125))</f>
        <v>166.852573110552</v>
      </c>
      <c r="G95" s="0" t="n">
        <f aca="false">IF($A95&lt;$B$5,0,IF($A95&gt;$B$6,0,Fwd_curves!N125))</f>
        <v>12.8167576360265</v>
      </c>
      <c r="H95" s="54" t="n">
        <f aca="false">IF($A95&lt;$B$5,0,IF($A95&gt;$B$6,0,Fwd_curves!O125))</f>
        <v>382.255935115785</v>
      </c>
      <c r="I95" s="54" t="n">
        <f aca="false">IF($A95&lt;$B$5,0,IF($A95&gt;$B$6,0,Fwd_curves!P125))</f>
        <v>293.139128596276</v>
      </c>
      <c r="J95" s="0" t="n">
        <f aca="false">IF($A95&lt;$B$5,0,IF($A95&gt;$B$6,0,Fwd_curves!Q125))</f>
        <v>5.50206455726211</v>
      </c>
      <c r="K95" s="0" t="n">
        <f aca="false">IF(B95=0,0,$B$9*B95)</f>
        <v>95.9373158759355</v>
      </c>
      <c r="L95" s="56" t="n">
        <f aca="false">external_curves!AB55</f>
        <v>21</v>
      </c>
      <c r="M95" s="56" t="n">
        <f aca="false">external_curves!AA55</f>
        <v>10</v>
      </c>
      <c r="N95" s="138" t="n">
        <f aca="false">(L95*16*$K95)</f>
        <v>32234.9381343143</v>
      </c>
      <c r="O95" s="138" t="n">
        <f aca="false">(L95*13*$K95)</f>
        <v>26190.8872341304</v>
      </c>
      <c r="P95" s="138" t="n">
        <f aca="false">(M95*24*$K95)</f>
        <v>23024.9558102245</v>
      </c>
      <c r="Q95" s="138" t="n">
        <f aca="false">((L95+M95)*K95)*24</f>
        <v>71377.363011696</v>
      </c>
      <c r="R95" s="0" t="n">
        <f aca="false">L95*8*K95</f>
        <v>16117.4690671572</v>
      </c>
      <c r="T95" s="0" t="n">
        <f aca="false">IF(N95=0,0,$L95*16)*$B$9</f>
        <v>8400</v>
      </c>
      <c r="U95" s="0" t="n">
        <f aca="false">IF(O95=0,0,$L95*13)*$B$9</f>
        <v>6825</v>
      </c>
      <c r="V95" s="0" t="n">
        <f aca="false">IF(P95=0,0,$M95*24)*$B$9</f>
        <v>6000</v>
      </c>
      <c r="W95" s="0" t="n">
        <f aca="false">IF(Q95=0,0,($L95+$M95)*24)*$B$9</f>
        <v>18600</v>
      </c>
      <c r="X95" s="0" t="n">
        <f aca="false">IF(R95=0,0,$L95*8)*$B$9</f>
        <v>4200</v>
      </c>
    </row>
    <row r="96" customFormat="false" ht="12.75" hidden="false" customHeight="false" outlineLevel="0" collapsed="false">
      <c r="A96" s="61" t="n">
        <f aca="false">Fwd_curves!A126</f>
        <v>37865</v>
      </c>
      <c r="B96" s="0" t="n">
        <f aca="false">IF($A96&lt;$B$5,0,IF($A96&gt;$B$6,0,Fwd_curves!H126))</f>
        <v>3.81828811392269</v>
      </c>
      <c r="C96" s="0" t="n">
        <f aca="false">IF($A96&lt;$B$5,0,IF($A96&gt;$B$6,0,Fwd_curves!J126))</f>
        <v>119.176408611755</v>
      </c>
      <c r="D96" s="0" t="n">
        <f aca="false">IF($A96&lt;$B$5,0,IF($A96&gt;$B$6,0,Fwd_curves!K126))</f>
        <v>159.855289417901</v>
      </c>
      <c r="E96" s="0" t="n">
        <f aca="false">IF($A96&lt;$B$5,0,IF($A96&gt;$B$6,0,Fwd_curves!L126))</f>
        <v>192.522608576568</v>
      </c>
      <c r="F96" s="0" t="n">
        <f aca="false">IF($A96&lt;$B$5,0,IF($A96&gt;$B$6,0,Fwd_curves!M126))</f>
        <v>165.88225236508</v>
      </c>
      <c r="G96" s="0" t="n">
        <f aca="false">IF($A96&lt;$B$5,0,IF($A96&gt;$B$6,0,Fwd_curves!N126))</f>
        <v>12.6659610905637</v>
      </c>
      <c r="H96" s="54" t="n">
        <f aca="false">IF($A96&lt;$B$5,0,IF($A96&gt;$B$6,0,Fwd_curves!O126))</f>
        <v>317.289808473031</v>
      </c>
      <c r="I96" s="54" t="n">
        <f aca="false">IF($A96&lt;$B$5,0,IF($A96&gt;$B$6,0,Fwd_curves!P126))</f>
        <v>246.750570401584</v>
      </c>
      <c r="J96" s="0" t="n">
        <f aca="false">IF($A96&lt;$B$5,0,IF($A96&gt;$B$6,0,Fwd_curves!Q126))</f>
        <v>5.47051393919019</v>
      </c>
      <c r="K96" s="0" t="n">
        <f aca="false">IF(B96=0,0,$B$9*B96)</f>
        <v>95.4572028480672</v>
      </c>
      <c r="L96" s="56" t="n">
        <f aca="false">external_curves!AB56</f>
        <v>22</v>
      </c>
      <c r="M96" s="56" t="n">
        <f aca="false">external_curves!AA56</f>
        <v>8</v>
      </c>
      <c r="N96" s="138" t="n">
        <f aca="false">(L96*16*$K96)</f>
        <v>33600.9354025197</v>
      </c>
      <c r="O96" s="138" t="n">
        <f aca="false">(L96*13*$K96)</f>
        <v>27300.7600145472</v>
      </c>
      <c r="P96" s="138" t="n">
        <f aca="false">(M96*24*$K96)</f>
        <v>18327.7829468289</v>
      </c>
      <c r="Q96" s="138" t="n">
        <f aca="false">((L96+M96)*K96)*24</f>
        <v>68729.1860506084</v>
      </c>
      <c r="R96" s="0" t="n">
        <f aca="false">L96*8*K96</f>
        <v>16800.4677012598</v>
      </c>
      <c r="T96" s="0" t="n">
        <f aca="false">IF(N96=0,0,$L96*16)*$B$9</f>
        <v>8800</v>
      </c>
      <c r="U96" s="0" t="n">
        <f aca="false">IF(O96=0,0,$L96*13)*$B$9</f>
        <v>7150</v>
      </c>
      <c r="V96" s="0" t="n">
        <f aca="false">IF(P96=0,0,$M96*24)*$B$9</f>
        <v>4800</v>
      </c>
      <c r="W96" s="0" t="n">
        <f aca="false">IF(Q96=0,0,($L96+$M96)*24)*$B$9</f>
        <v>18000</v>
      </c>
      <c r="X96" s="0" t="n">
        <f aca="false">IF(R96=0,0,$L96*8)*$B$9</f>
        <v>4400</v>
      </c>
    </row>
    <row r="97" customFormat="false" ht="12.75" hidden="false" customHeight="false" outlineLevel="0" collapsed="false">
      <c r="A97" s="61" t="n">
        <f aca="false">Fwd_curves!A127</f>
        <v>37895</v>
      </c>
      <c r="B97" s="0" t="n">
        <f aca="false">IF($A97&lt;$B$5,0,IF($A97&gt;$B$6,0,Fwd_curves!H127))</f>
        <v>3.79979084872905</v>
      </c>
      <c r="C97" s="0" t="n">
        <f aca="false">IF($A97&lt;$B$5,0,IF($A97&gt;$B$6,0,Fwd_curves!J127))</f>
        <v>118.599071970531</v>
      </c>
      <c r="D97" s="0" t="n">
        <f aca="false">IF($A97&lt;$B$5,0,IF($A97&gt;$B$6,0,Fwd_curves!K127))</f>
        <v>158.132095960708</v>
      </c>
      <c r="E97" s="0" t="n">
        <f aca="false">IF($A97&lt;$B$5,0,IF($A97&gt;$B$6,0,Fwd_curves!L127))</f>
        <v>192.776803387657</v>
      </c>
      <c r="F97" s="0" t="n">
        <f aca="false">IF($A97&lt;$B$5,0,IF($A97&gt;$B$6,0,Fwd_curves!M127))</f>
        <v>165.491203378618</v>
      </c>
      <c r="G97" s="0" t="n">
        <f aca="false">IF($A97&lt;$B$5,0,IF($A97&gt;$B$6,0,Fwd_curves!N127))</f>
        <v>12.6826844333985</v>
      </c>
      <c r="H97" s="54" t="n">
        <f aca="false">IF($A97&lt;$B$5,0,IF($A97&gt;$B$6,0,Fwd_curves!O127))</f>
        <v>229.846489015215</v>
      </c>
      <c r="I97" s="54" t="n">
        <f aca="false">IF($A97&lt;$B$5,0,IF($A97&gt;$B$6,0,Fwd_curves!P127))</f>
        <v>198.375493000661</v>
      </c>
      <c r="J97" s="0" t="n">
        <f aca="false">IF($A97&lt;$B$5,0,IF($A97&gt;$B$6,0,Fwd_curves!Q127))</f>
        <v>5.44015358615893</v>
      </c>
      <c r="K97" s="0" t="n">
        <f aca="false">IF(B97=0,0,$B$9*B97)</f>
        <v>94.9947712182261</v>
      </c>
      <c r="L97" s="56" t="n">
        <f aca="false">external_curves!AB57</f>
        <v>23</v>
      </c>
      <c r="M97" s="56" t="n">
        <f aca="false">external_curves!AA57</f>
        <v>8</v>
      </c>
      <c r="N97" s="138" t="n">
        <f aca="false">(L97*16*$K97)</f>
        <v>34958.0758083072</v>
      </c>
      <c r="O97" s="138" t="n">
        <f aca="false">(L97*13*$K97)</f>
        <v>28403.4365942496</v>
      </c>
      <c r="P97" s="138" t="n">
        <f aca="false">(M97*24*$K97)</f>
        <v>18238.9960738994</v>
      </c>
      <c r="Q97" s="138" t="n">
        <f aca="false">((L97+M97)*K97)*24</f>
        <v>70676.1097863603</v>
      </c>
      <c r="R97" s="0" t="n">
        <f aca="false">L97*8*K97</f>
        <v>17479.0379041536</v>
      </c>
      <c r="T97" s="0" t="n">
        <f aca="false">IF(N97=0,0,$L97*16)*$B$9</f>
        <v>9200</v>
      </c>
      <c r="U97" s="0" t="n">
        <f aca="false">IF(O97=0,0,$L97*13)*$B$9</f>
        <v>7475</v>
      </c>
      <c r="V97" s="0" t="n">
        <f aca="false">IF(P97=0,0,$M97*24)*$B$9</f>
        <v>4800</v>
      </c>
      <c r="W97" s="0" t="n">
        <f aca="false">IF(Q97=0,0,($L97+$M97)*24)*$B$9</f>
        <v>18600</v>
      </c>
      <c r="X97" s="0" t="n">
        <f aca="false">IF(R97=0,0,$L97*8)*$B$9</f>
        <v>4600</v>
      </c>
    </row>
    <row r="98" customFormat="false" ht="12.75" hidden="false" customHeight="false" outlineLevel="0" collapsed="false">
      <c r="A98" s="61" t="n">
        <f aca="false">Fwd_curves!A128</f>
        <v>37926</v>
      </c>
      <c r="B98" s="0" t="n">
        <f aca="false">IF($A98&lt;$B$5,0,IF($A98&gt;$B$6,0,Fwd_curves!H128))</f>
        <v>3.78076727799391</v>
      </c>
      <c r="C98" s="0" t="n">
        <f aca="false">IF($A98&lt;$B$5,0,IF($A98&gt;$B$6,0,Fwd_curves!J128))</f>
        <v>129.805839108821</v>
      </c>
      <c r="D98" s="0" t="n">
        <f aca="false">IF($A98&lt;$B$5,0,IF($A98&gt;$B$6,0,Fwd_curves!K128))</f>
        <v>157.340411040995</v>
      </c>
      <c r="E98" s="0" t="n">
        <f aca="false">IF($A98&lt;$B$5,0,IF($A98&gt;$B$6,0,Fwd_curves!L128))</f>
        <v>198.172302559978</v>
      </c>
      <c r="F98" s="0" t="n">
        <f aca="false">IF($A98&lt;$B$5,0,IF($A98&gt;$B$6,0,Fwd_curves!M128))</f>
        <v>169.36912462006</v>
      </c>
      <c r="G98" s="0" t="n">
        <f aca="false">IF($A98&lt;$B$5,0,IF($A98&gt;$B$6,0,Fwd_curves!N128))</f>
        <v>13.0376514842091</v>
      </c>
      <c r="H98" s="54" t="n">
        <f aca="false">IF($A98&lt;$B$5,0,IF($A98&gt;$B$6,0,Fwd_curves!O128))</f>
        <v>206.892552865065</v>
      </c>
      <c r="I98" s="54" t="n">
        <f aca="false">IF($A98&lt;$B$5,0,IF($A98&gt;$B$6,0,Fwd_curves!P128))</f>
        <v>177.391207363935</v>
      </c>
      <c r="J98" s="0" t="n">
        <f aca="false">IF($A98&lt;$B$5,0,IF($A98&gt;$B$6,0,Fwd_curves!Q128))</f>
        <v>5.40895563045921</v>
      </c>
      <c r="K98" s="0" t="n">
        <f aca="false">IF(B98=0,0,$B$9*B98)</f>
        <v>94.5191819498479</v>
      </c>
      <c r="L98" s="56" t="n">
        <f aca="false">external_curves!AB58</f>
        <v>20</v>
      </c>
      <c r="M98" s="56" t="n">
        <f aca="false">external_curves!AA58</f>
        <v>10</v>
      </c>
      <c r="N98" s="138" t="n">
        <f aca="false">(L98*16*$K98)</f>
        <v>30246.1382239513</v>
      </c>
      <c r="O98" s="138" t="n">
        <f aca="false">(L98*13*$K98)</f>
        <v>24574.9873069604</v>
      </c>
      <c r="P98" s="138" t="n">
        <f aca="false">(M98*24*$K98)</f>
        <v>22684.6036679635</v>
      </c>
      <c r="Q98" s="138" t="n">
        <f aca="false">((L98+M98)*K98)*24</f>
        <v>68053.8110038905</v>
      </c>
      <c r="R98" s="0" t="n">
        <f aca="false">L98*8*K98</f>
        <v>15123.0691119757</v>
      </c>
      <c r="T98" s="0" t="n">
        <f aca="false">IF(N98=0,0,$L98*16)*$B$9</f>
        <v>8000</v>
      </c>
      <c r="U98" s="0" t="n">
        <f aca="false">IF(O98=0,0,$L98*13)*$B$9</f>
        <v>6500</v>
      </c>
      <c r="V98" s="0" t="n">
        <f aca="false">IF(P98=0,0,$M98*24)*$B$9</f>
        <v>6000</v>
      </c>
      <c r="W98" s="0" t="n">
        <f aca="false">IF(Q98=0,0,($L98+$M98)*24)*$B$9</f>
        <v>18000</v>
      </c>
      <c r="X98" s="0" t="n">
        <f aca="false">IF(R98=0,0,$L98*8)*$B$9</f>
        <v>4000</v>
      </c>
    </row>
    <row r="99" customFormat="false" ht="12.75" hidden="false" customHeight="false" outlineLevel="0" collapsed="false">
      <c r="A99" s="61" t="n">
        <f aca="false">Fwd_curves!A129</f>
        <v>37956</v>
      </c>
      <c r="B99" s="0" t="n">
        <f aca="false">IF($A99&lt;$B$5,0,IF($A99&gt;$B$6,0,Fwd_curves!H129))</f>
        <v>3.76244433764307</v>
      </c>
      <c r="C99" s="0" t="n">
        <f aca="false">IF($A99&lt;$B$5,0,IF($A99&gt;$B$6,0,Fwd_curves!J129))</f>
        <v>129.176753933167</v>
      </c>
      <c r="D99" s="0" t="n">
        <f aca="false">IF($A99&lt;$B$5,0,IF($A99&gt;$B$6,0,Fwd_curves!K129))</f>
        <v>156.577883555354</v>
      </c>
      <c r="E99" s="0" t="n">
        <f aca="false">IF($A99&lt;$B$5,0,IF($A99&gt;$B$6,0,Fwd_curves!L129))</f>
        <v>204.846355992248</v>
      </c>
      <c r="F99" s="0" t="n">
        <f aca="false">IF($A99&lt;$B$5,0,IF($A99&gt;$B$6,0,Fwd_curves!M129))</f>
        <v>173.675988402524</v>
      </c>
      <c r="G99" s="0" t="n">
        <f aca="false">IF($A99&lt;$B$5,0,IF($A99&gt;$B$6,0,Fwd_curves!N129))</f>
        <v>13.4767339468584</v>
      </c>
      <c r="H99" s="54" t="n">
        <f aca="false">IF($A99&lt;$B$5,0,IF($A99&gt;$B$6,0,Fwd_curves!O129))</f>
        <v>205.744560596121</v>
      </c>
      <c r="I99" s="54" t="n">
        <f aca="false">IF($A99&lt;$B$5,0,IF($A99&gt;$B$6,0,Fwd_curves!P129))</f>
        <v>172.906982613565</v>
      </c>
      <c r="J99" s="0" t="n">
        <f aca="false">IF($A99&lt;$B$5,0,IF($A99&gt;$B$6,0,Fwd_curves!Q129))</f>
        <v>5.37894276068289</v>
      </c>
      <c r="K99" s="0" t="n">
        <f aca="false">IF(B99=0,0,$B$9*B99)</f>
        <v>94.0611084410768</v>
      </c>
      <c r="L99" s="56" t="n">
        <f aca="false">external_curves!AB59</f>
        <v>23</v>
      </c>
      <c r="M99" s="56" t="n">
        <f aca="false">external_curves!AA59</f>
        <v>8</v>
      </c>
      <c r="N99" s="138" t="n">
        <f aca="false">(L99*16*$K99)</f>
        <v>34614.4879063163</v>
      </c>
      <c r="O99" s="138" t="n">
        <f aca="false">(L99*13*$K99)</f>
        <v>28124.271423882</v>
      </c>
      <c r="P99" s="138" t="n">
        <f aca="false">(M99*24*$K99)</f>
        <v>18059.7328206868</v>
      </c>
      <c r="Q99" s="138" t="n">
        <f aca="false">((L99+M99)*K99)*24</f>
        <v>69981.4646801612</v>
      </c>
      <c r="R99" s="0" t="n">
        <f aca="false">L99*8*K99</f>
        <v>17307.2439531581</v>
      </c>
      <c r="T99" s="0" t="n">
        <f aca="false">IF(N99=0,0,$L99*16)*$B$9</f>
        <v>9200</v>
      </c>
      <c r="U99" s="0" t="n">
        <f aca="false">IF(O99=0,0,$L99*13)*$B$9</f>
        <v>7475</v>
      </c>
      <c r="V99" s="0" t="n">
        <f aca="false">IF(P99=0,0,$M99*24)*$B$9</f>
        <v>4800</v>
      </c>
      <c r="W99" s="0" t="n">
        <f aca="false">IF(Q99=0,0,($L99+$M99)*24)*$B$9</f>
        <v>18600</v>
      </c>
      <c r="X99" s="0" t="n">
        <f aca="false">IF(R99=0,0,$L99*8)*$B$9</f>
        <v>4600</v>
      </c>
    </row>
    <row r="100" customFormat="false" ht="12.75" hidden="false" customHeight="false" outlineLevel="0" collapsed="false">
      <c r="A100" s="61" t="n">
        <f aca="false">Fwd_curves!A130</f>
        <v>37987</v>
      </c>
      <c r="B100" s="0" t="n">
        <f aca="false">IF($A100&lt;$B$5,0,IF($A100&gt;$B$6,0,Fwd_curves!H130))</f>
        <v>3.74360009135954</v>
      </c>
      <c r="C100" s="0" t="n">
        <f aca="false">IF($A100&lt;$B$5,0,IF($A100&gt;$B$6,0,Fwd_curves!J130))</f>
        <v>131.100366069799</v>
      </c>
      <c r="D100" s="0" t="n">
        <f aca="false">IF($A100&lt;$B$5,0,IF($A100&gt;$B$6,0,Fwd_curves!K130))</f>
        <v>152.950427081432</v>
      </c>
      <c r="E100" s="0" t="n">
        <f aca="false">IF($A100&lt;$B$5,0,IF($A100&gt;$B$6,0,Fwd_curves!L130))</f>
        <v>208.946925494508</v>
      </c>
      <c r="F100" s="0" t="n">
        <f aca="false">IF($A100&lt;$B$5,0,IF($A100&gt;$B$6,0,Fwd_curves!M130))</f>
        <v>174.274562435404</v>
      </c>
      <c r="G100" s="0" t="n">
        <f aca="false">IF($A100&lt;$B$5,0,IF($A100&gt;$B$6,0,Fwd_curves!N130))</f>
        <v>13.7918762702646</v>
      </c>
      <c r="H100" s="54" t="n">
        <f aca="false">IF($A100&lt;$B$5,0,IF($A100&gt;$B$6,0,Fwd_curves!O130))</f>
        <v>145.733118537563</v>
      </c>
      <c r="I100" s="54" t="n">
        <f aca="false">IF($A100&lt;$B$5,0,IF($A100&gt;$B$6,0,Fwd_curves!P130))</f>
        <v>133.915754086751</v>
      </c>
      <c r="J100" s="0" t="n">
        <f aca="false">IF($A100&lt;$B$5,0,IF($A100&gt;$B$6,0,Fwd_curves!Q130))</f>
        <v>5.3480043500023</v>
      </c>
      <c r="K100" s="0" t="n">
        <f aca="false">IF(B100=0,0,$B$9*B100)</f>
        <v>93.5900022839885</v>
      </c>
      <c r="L100" s="56" t="n">
        <f aca="false">external_curves!AB60</f>
        <v>22</v>
      </c>
      <c r="M100" s="56" t="n">
        <f aca="false">external_curves!AA60</f>
        <v>9</v>
      </c>
      <c r="N100" s="138" t="n">
        <f aca="false">(L100*16*$K100)</f>
        <v>32943.680803964</v>
      </c>
      <c r="O100" s="138" t="n">
        <f aca="false">(L100*13*$K100)</f>
        <v>26766.7406532207</v>
      </c>
      <c r="P100" s="138" t="n">
        <f aca="false">(M100*24*$K100)</f>
        <v>20215.4404933415</v>
      </c>
      <c r="Q100" s="138" t="n">
        <f aca="false">((L100+M100)*K100)*24</f>
        <v>69630.9616992875</v>
      </c>
      <c r="R100" s="0" t="n">
        <f aca="false">L100*8*K100</f>
        <v>16471.840401982</v>
      </c>
      <c r="T100" s="0" t="n">
        <f aca="false">IF(N100=0,0,$L100*16)*$B$9</f>
        <v>8800</v>
      </c>
      <c r="U100" s="0" t="n">
        <f aca="false">IF(O100=0,0,$L100*13)*$B$9</f>
        <v>7150</v>
      </c>
      <c r="V100" s="0" t="n">
        <f aca="false">IF(P100=0,0,$M100*24)*$B$9</f>
        <v>5400</v>
      </c>
      <c r="W100" s="0" t="n">
        <f aca="false">IF(Q100=0,0,($L100+$M100)*24)*$B$9</f>
        <v>18600</v>
      </c>
      <c r="X100" s="0" t="n">
        <f aca="false">IF(R100=0,0,$L100*8)*$B$9</f>
        <v>4400</v>
      </c>
    </row>
    <row r="101" customFormat="false" ht="12.75" hidden="false" customHeight="false" outlineLevel="0" collapsed="false">
      <c r="A101" s="61" t="n">
        <f aca="false">Fwd_curves!A131</f>
        <v>38018</v>
      </c>
      <c r="B101" s="0" t="n">
        <f aca="false">IF($A101&lt;$B$5,0,IF($A101&gt;$B$6,0,Fwd_curves!H131))</f>
        <v>3.72484635850357</v>
      </c>
      <c r="C101" s="0" t="n">
        <f aca="false">IF($A101&lt;$B$5,0,IF($A101&gt;$B$6,0,Fwd_curves!J131))</f>
        <v>118.585102632446</v>
      </c>
      <c r="D101" s="0" t="n">
        <f aca="false">IF($A101&lt;$B$5,0,IF($A101&gt;$B$6,0,Fwd_curves!K131))</f>
        <v>148.231378290557</v>
      </c>
      <c r="E101" s="0" t="n">
        <f aca="false">IF($A101&lt;$B$5,0,IF($A101&gt;$B$6,0,Fwd_curves!L131))</f>
        <v>198.182573043182</v>
      </c>
      <c r="F101" s="0" t="n">
        <f aca="false">IF($A101&lt;$B$5,0,IF($A101&gt;$B$6,0,Fwd_curves!M131))</f>
        <v>164.382209060014</v>
      </c>
      <c r="G101" s="0" t="n">
        <f aca="false">IF($A101&lt;$B$5,0,IF($A101&gt;$B$6,0,Fwd_curves!N131))</f>
        <v>13.0813579566457</v>
      </c>
      <c r="H101" s="54" t="n">
        <f aca="false">IF($A101&lt;$B$5,0,IF($A101&gt;$B$6,0,Fwd_curves!O131))</f>
        <v>134.257517975291</v>
      </c>
      <c r="I101" s="54" t="n">
        <f aca="false">IF($A101&lt;$B$5,0,IF($A101&gt;$B$6,0,Fwd_curves!P131))</f>
        <v>125.019114736246</v>
      </c>
      <c r="J101" s="0" t="n">
        <f aca="false">IF($A101&lt;$B$5,0,IF($A101&gt;$B$6,0,Fwd_curves!Q131))</f>
        <v>5.317129424764</v>
      </c>
      <c r="K101" s="0" t="n">
        <f aca="false">IF(B101=0,0,$B$9*B101)</f>
        <v>93.1211589625894</v>
      </c>
      <c r="L101" s="56" t="n">
        <f aca="false">external_curves!AB61</f>
        <v>20</v>
      </c>
      <c r="M101" s="56" t="n">
        <f aca="false">external_curves!AA61</f>
        <v>9</v>
      </c>
      <c r="N101" s="138" t="n">
        <f aca="false">(L101*16*$K101)</f>
        <v>29798.7708680286</v>
      </c>
      <c r="O101" s="138" t="n">
        <f aca="false">(L101*13*$K101)</f>
        <v>24211.5013302732</v>
      </c>
      <c r="P101" s="138" t="n">
        <f aca="false">(M101*24*$K101)</f>
        <v>20114.1703359193</v>
      </c>
      <c r="Q101" s="138" t="n">
        <f aca="false">((L101+M101)*K101)*24</f>
        <v>64812.3266379622</v>
      </c>
      <c r="R101" s="0" t="n">
        <f aca="false">L101*8*K101</f>
        <v>14899.3854340143</v>
      </c>
      <c r="T101" s="0" t="n">
        <f aca="false">IF(N101=0,0,$L101*16)*$B$9</f>
        <v>8000</v>
      </c>
      <c r="U101" s="0" t="n">
        <f aca="false">IF(O101=0,0,$L101*13)*$B$9</f>
        <v>6500</v>
      </c>
      <c r="V101" s="0" t="n">
        <f aca="false">IF(P101=0,0,$M101*24)*$B$9</f>
        <v>5400</v>
      </c>
      <c r="W101" s="0" t="n">
        <f aca="false">IF(Q101=0,0,($L101+$M101)*24)*$B$9</f>
        <v>17400</v>
      </c>
      <c r="X101" s="0" t="n">
        <f aca="false">IF(R101=0,0,$L101*8)*$B$9</f>
        <v>4000</v>
      </c>
    </row>
    <row r="102" customFormat="false" ht="12.75" hidden="false" customHeight="false" outlineLevel="0" collapsed="false">
      <c r="A102" s="61" t="n">
        <f aca="false">Fwd_curves!A132</f>
        <v>38047</v>
      </c>
      <c r="B102" s="0" t="n">
        <f aca="false">IF($A102&lt;$B$5,0,IF($A102&gt;$B$6,0,Fwd_curves!H132))</f>
        <v>3.70738411909034</v>
      </c>
      <c r="C102" s="0" t="n">
        <f aca="false">IF($A102&lt;$B$5,0,IF($A102&gt;$B$6,0,Fwd_curves!J132))</f>
        <v>121.9634762738</v>
      </c>
      <c r="D102" s="0" t="n">
        <f aca="false">IF($A102&lt;$B$5,0,IF($A102&gt;$B$6,0,Fwd_curves!K132))</f>
        <v>147.536463234436</v>
      </c>
      <c r="E102" s="0" t="n">
        <f aca="false">IF($A102&lt;$B$5,0,IF($A102&gt;$B$6,0,Fwd_curves!L132))</f>
        <v>207.884472299013</v>
      </c>
      <c r="F102" s="0" t="n">
        <f aca="false">IF($A102&lt;$B$5,0,IF($A102&gt;$B$6,0,Fwd_curves!M132))</f>
        <v>171.061513953532</v>
      </c>
      <c r="G102" s="0" t="n">
        <f aca="false">IF($A102&lt;$B$5,0,IF($A102&gt;$B$6,0,Fwd_curves!N132))</f>
        <v>13.7217473464695</v>
      </c>
      <c r="H102" s="54" t="n">
        <f aca="false">IF($A102&lt;$B$5,0,IF($A102&gt;$B$6,0,Fwd_curves!O132))</f>
        <v>122.955439338327</v>
      </c>
      <c r="I102" s="54" t="n">
        <f aca="false">IF($A102&lt;$B$5,0,IF($A102&gt;$B$6,0,Fwd_curves!P132))</f>
        <v>114.838020461904</v>
      </c>
      <c r="J102" s="0" t="n">
        <f aca="false">IF($A102&lt;$B$5,0,IF($A102&gt;$B$6,0,Fwd_curves!Q132))</f>
        <v>5.28840599304631</v>
      </c>
      <c r="K102" s="0" t="n">
        <f aca="false">IF(B102=0,0,$B$9*B102)</f>
        <v>92.6846029772585</v>
      </c>
      <c r="L102" s="56" t="n">
        <f aca="false">external_curves!AB62</f>
        <v>23</v>
      </c>
      <c r="M102" s="56" t="n">
        <f aca="false">external_curves!AA62</f>
        <v>8</v>
      </c>
      <c r="N102" s="138" t="n">
        <f aca="false">(L102*16*$K102)</f>
        <v>34107.9338956311</v>
      </c>
      <c r="O102" s="138" t="n">
        <f aca="false">(L102*13*$K102)</f>
        <v>27712.6962902003</v>
      </c>
      <c r="P102" s="138" t="n">
        <f aca="false">(M102*24*$K102)</f>
        <v>17795.4437716336</v>
      </c>
      <c r="Q102" s="138" t="n">
        <f aca="false">((L102+M102)*K102)*24</f>
        <v>68957.3446150804</v>
      </c>
      <c r="R102" s="0" t="n">
        <f aca="false">L102*8*K102</f>
        <v>17053.9669478156</v>
      </c>
      <c r="T102" s="0" t="n">
        <f aca="false">IF(N102=0,0,$L102*16)*$B$9</f>
        <v>9200</v>
      </c>
      <c r="U102" s="0" t="n">
        <f aca="false">IF(O102=0,0,$L102*13)*$B$9</f>
        <v>7475</v>
      </c>
      <c r="V102" s="0" t="n">
        <f aca="false">IF(P102=0,0,$M102*24)*$B$9</f>
        <v>4800</v>
      </c>
      <c r="W102" s="0" t="n">
        <f aca="false">IF(Q102=0,0,($L102+$M102)*24)*$B$9</f>
        <v>18600</v>
      </c>
      <c r="X102" s="0" t="n">
        <f aca="false">IF(R102=0,0,$L102*8)*$B$9</f>
        <v>4600</v>
      </c>
    </row>
    <row r="103" customFormat="false" ht="12.75" hidden="false" customHeight="false" outlineLevel="0" collapsed="false">
      <c r="A103" s="61" t="n">
        <f aca="false">Fwd_curves!A133</f>
        <v>38078</v>
      </c>
      <c r="B103" s="0" t="n">
        <f aca="false">IF($A103&lt;$B$5,0,IF($A103&gt;$B$6,0,Fwd_curves!H133))</f>
        <v>3.68880439747653</v>
      </c>
      <c r="C103" s="0" t="n">
        <f aca="false">IF($A103&lt;$B$5,0,IF($A103&gt;$B$6,0,Fwd_curves!J133))</f>
        <v>115.4803677426</v>
      </c>
      <c r="D103" s="0" t="n">
        <f aca="false">IF($A103&lt;$B$5,0,IF($A103&gt;$B$6,0,Fwd_curves!K133))</f>
        <v>146.797077638898</v>
      </c>
      <c r="E103" s="0" t="n">
        <f aca="false">IF($A103&lt;$B$5,0,IF($A103&gt;$B$6,0,Fwd_curves!L133))</f>
        <v>191.873246225542</v>
      </c>
      <c r="F103" s="0" t="n">
        <f aca="false">IF($A103&lt;$B$5,0,IF($A103&gt;$B$6,0,Fwd_curves!M133))</f>
        <v>161.179119862162</v>
      </c>
      <c r="G103" s="0" t="n">
        <f aca="false">IF($A103&lt;$B$5,0,IF($A103&gt;$B$6,0,Fwd_curves!N133))</f>
        <v>12.6649007409599</v>
      </c>
      <c r="H103" s="54" t="n">
        <f aca="false">IF($A103&lt;$B$5,0,IF($A103&gt;$B$6,0,Fwd_curves!O133))</f>
        <v>120.931055014892</v>
      </c>
      <c r="I103" s="54" t="n">
        <f aca="false">IF($A103&lt;$B$5,0,IF($A103&gt;$B$6,0,Fwd_curves!P133))</f>
        <v>101.425868994582</v>
      </c>
      <c r="J103" s="0" t="n">
        <f aca="false">IF($A103&lt;$B$5,0,IF($A103&gt;$B$6,0,Fwd_curves!Q133))</f>
        <v>5.25787195716921</v>
      </c>
      <c r="K103" s="0" t="n">
        <f aca="false">IF(B103=0,0,$B$9*B103)</f>
        <v>92.2201099369132</v>
      </c>
      <c r="L103" s="56" t="n">
        <f aca="false">external_curves!AB63</f>
        <v>22</v>
      </c>
      <c r="M103" s="56" t="n">
        <f aca="false">external_curves!AA63</f>
        <v>8</v>
      </c>
      <c r="N103" s="138" t="n">
        <f aca="false">(L103*16*$K103)</f>
        <v>32461.4786977935</v>
      </c>
      <c r="O103" s="138" t="n">
        <f aca="false">(L103*13*$K103)</f>
        <v>26374.9514419572</v>
      </c>
      <c r="P103" s="138" t="n">
        <f aca="false">(M103*24*$K103)</f>
        <v>17706.2611078873</v>
      </c>
      <c r="Q103" s="138" t="n">
        <f aca="false">((L103+M103)*K103)*24</f>
        <v>66398.4791545775</v>
      </c>
      <c r="R103" s="0" t="n">
        <f aca="false">L103*8*K103</f>
        <v>16230.7393488967</v>
      </c>
      <c r="T103" s="0" t="n">
        <f aca="false">IF(N103=0,0,$L103*16)*$B$9</f>
        <v>8800</v>
      </c>
      <c r="U103" s="0" t="n">
        <f aca="false">IF(O103=0,0,$L103*13)*$B$9</f>
        <v>7150</v>
      </c>
      <c r="V103" s="0" t="n">
        <f aca="false">IF(P103=0,0,$M103*24)*$B$9</f>
        <v>4800</v>
      </c>
      <c r="W103" s="0" t="n">
        <f aca="false">IF(Q103=0,0,($L103+$M103)*24)*$B$9</f>
        <v>18000</v>
      </c>
      <c r="X103" s="0" t="n">
        <f aca="false">IF(R103=0,0,$L103*8)*$B$9</f>
        <v>4400</v>
      </c>
    </row>
    <row r="104" customFormat="false" ht="12.75" hidden="false" customHeight="false" outlineLevel="0" collapsed="false">
      <c r="A104" s="61" t="n">
        <f aca="false">Fwd_curves!A134</f>
        <v>38108</v>
      </c>
      <c r="B104" s="0" t="n">
        <f aca="false">IF($A104&lt;$B$5,0,IF($A104&gt;$B$6,0,Fwd_curves!H134))</f>
        <v>3.67090905297348</v>
      </c>
      <c r="C104" s="0" t="n">
        <f aca="false">IF($A104&lt;$B$5,0,IF($A104&gt;$B$6,0,Fwd_curves!J134))</f>
        <v>124.659137737212</v>
      </c>
      <c r="D104" s="0" t="n">
        <f aca="false">IF($A104&lt;$B$5,0,IF($A104&gt;$B$6,0,Fwd_curves!K134))</f>
        <v>146.084927035796</v>
      </c>
      <c r="E104" s="0" t="n">
        <f aca="false">IF($A104&lt;$B$5,0,IF($A104&gt;$B$6,0,Fwd_curves!L134))</f>
        <v>188.981279713847</v>
      </c>
      <c r="F104" s="0" t="n">
        <f aca="false">IF($A104&lt;$B$5,0,IF($A104&gt;$B$6,0,Fwd_curves!M134))</f>
        <v>160.61939195201</v>
      </c>
      <c r="G104" s="0" t="n">
        <f aca="false">IF($A104&lt;$B$5,0,IF($A104&gt;$B$6,0,Fwd_curves!N134))</f>
        <v>12.4740118623001</v>
      </c>
      <c r="H104" s="54" t="n">
        <f aca="false">IF($A104&lt;$B$5,0,IF($A104&gt;$B$6,0,Fwd_curves!O134))</f>
        <v>117.641016473458</v>
      </c>
      <c r="I104" s="54" t="n">
        <f aca="false">IF($A104&lt;$B$5,0,IF($A104&gt;$B$6,0,Fwd_curves!P134))</f>
        <v>82.7844189998405</v>
      </c>
      <c r="J104" s="0" t="n">
        <f aca="false">IF($A104&lt;$B$5,0,IF($A104&gt;$B$6,0,Fwd_curves!Q134))</f>
        <v>5.22848962104256</v>
      </c>
      <c r="K104" s="0" t="n">
        <f aca="false">IF(B104=0,0,$B$9*B104)</f>
        <v>91.772726324337</v>
      </c>
      <c r="L104" s="56" t="n">
        <f aca="false">external_curves!AB64</f>
        <v>21</v>
      </c>
      <c r="M104" s="56" t="n">
        <f aca="false">external_curves!AA64</f>
        <v>10</v>
      </c>
      <c r="N104" s="138" t="n">
        <f aca="false">(L104*16*$K104)</f>
        <v>30835.6360449772</v>
      </c>
      <c r="O104" s="138" t="n">
        <f aca="false">(L104*13*$K104)</f>
        <v>25053.954286544</v>
      </c>
      <c r="P104" s="138" t="n">
        <f aca="false">(M104*24*$K104)</f>
        <v>22025.4543178409</v>
      </c>
      <c r="Q104" s="138" t="n">
        <f aca="false">((L104+M104)*K104)*24</f>
        <v>68278.9083853067</v>
      </c>
      <c r="R104" s="0" t="n">
        <f aca="false">L104*8*K104</f>
        <v>15417.8180224886</v>
      </c>
      <c r="T104" s="0" t="n">
        <f aca="false">IF(N104=0,0,$L104*16)*$B$9</f>
        <v>8400</v>
      </c>
      <c r="U104" s="0" t="n">
        <f aca="false">IF(O104=0,0,$L104*13)*$B$9</f>
        <v>6825</v>
      </c>
      <c r="V104" s="0" t="n">
        <f aca="false">IF(P104=0,0,$M104*24)*$B$9</f>
        <v>6000</v>
      </c>
      <c r="W104" s="0" t="n">
        <f aca="false">IF(Q104=0,0,($L104+$M104)*24)*$B$9</f>
        <v>18600</v>
      </c>
      <c r="X104" s="0" t="n">
        <f aca="false">IF(R104=0,0,$L104*8)*$B$9</f>
        <v>4200</v>
      </c>
    </row>
    <row r="105" customFormat="false" ht="12.75" hidden="false" customHeight="false" outlineLevel="0" collapsed="false">
      <c r="A105" s="61" t="n">
        <f aca="false">Fwd_curves!A135</f>
        <v>38139</v>
      </c>
      <c r="B105" s="0" t="n">
        <f aca="false">IF($A105&lt;$B$5,0,IF($A105&gt;$B$6,0,Fwd_curves!H135))</f>
        <v>3.65250466422788</v>
      </c>
      <c r="C105" s="0" t="n">
        <f aca="false">IF($A105&lt;$B$5,0,IF($A105&gt;$B$6,0,Fwd_curves!J135))</f>
        <v>124.03414943091</v>
      </c>
      <c r="D105" s="0" t="n">
        <f aca="false">IF($A105&lt;$B$5,0,IF($A105&gt;$B$6,0,Fwd_curves!K135))</f>
        <v>145.352518864348</v>
      </c>
      <c r="E105" s="0" t="n">
        <f aca="false">IF($A105&lt;$B$5,0,IF($A105&gt;$B$6,0,Fwd_curves!L135))</f>
        <v>188.312268822532</v>
      </c>
      <c r="F105" s="0" t="n">
        <f aca="false">IF($A105&lt;$B$5,0,IF($A105&gt;$B$6,0,Fwd_curves!M135))</f>
        <v>161.143906315731</v>
      </c>
      <c r="G105" s="0" t="n">
        <f aca="false">IF($A105&lt;$B$5,0,IF($A105&gt;$B$6,0,Fwd_curves!N135))</f>
        <v>12.4298527275599</v>
      </c>
      <c r="H105" s="54" t="n">
        <f aca="false">IF($A105&lt;$B$5,0,IF($A105&gt;$B$6,0,Fwd_curves!O135))</f>
        <v>122.160014127814</v>
      </c>
      <c r="I105" s="54" t="n">
        <f aca="false">IF($A105&lt;$B$5,0,IF($A105&gt;$B$6,0,Fwd_curves!P135))</f>
        <v>88.1689179981596</v>
      </c>
      <c r="J105" s="0" t="n">
        <f aca="false">IF($A105&lt;$B$5,0,IF($A105&gt;$B$6,0,Fwd_curves!Q135))</f>
        <v>5.19829847352398</v>
      </c>
      <c r="K105" s="0" t="n">
        <f aca="false">IF(B105=0,0,$B$9*B105)</f>
        <v>91.3126166056969</v>
      </c>
      <c r="L105" s="56" t="n">
        <f aca="false">external_curves!AB65</f>
        <v>22</v>
      </c>
      <c r="M105" s="56" t="n">
        <f aca="false">external_curves!AA65</f>
        <v>8</v>
      </c>
      <c r="N105" s="138" t="n">
        <f aca="false">(L105*16*$K105)</f>
        <v>32142.0410452053</v>
      </c>
      <c r="O105" s="138" t="n">
        <f aca="false">(L105*13*$K105)</f>
        <v>26115.4083492293</v>
      </c>
      <c r="P105" s="138" t="n">
        <f aca="false">(M105*24*$K105)</f>
        <v>17532.0223882938</v>
      </c>
      <c r="Q105" s="138" t="n">
        <f aca="false">((L105+M105)*K105)*24</f>
        <v>65745.0839561018</v>
      </c>
      <c r="R105" s="0" t="n">
        <f aca="false">L105*8*K105</f>
        <v>16071.0205226027</v>
      </c>
      <c r="T105" s="0" t="n">
        <f aca="false">IF(N105=0,0,$L105*16)*$B$9</f>
        <v>8800</v>
      </c>
      <c r="U105" s="0" t="n">
        <f aca="false">IF(O105=0,0,$L105*13)*$B$9</f>
        <v>7150</v>
      </c>
      <c r="V105" s="0" t="n">
        <f aca="false">IF(P105=0,0,$M105*24)*$B$9</f>
        <v>4800</v>
      </c>
      <c r="W105" s="0" t="n">
        <f aca="false">IF(Q105=0,0,($L105+$M105)*24)*$B$9</f>
        <v>18000</v>
      </c>
      <c r="X105" s="0" t="n">
        <f aca="false">IF(R105=0,0,$L105*8)*$B$9</f>
        <v>4400</v>
      </c>
    </row>
    <row r="106" customFormat="false" ht="12.75" hidden="false" customHeight="false" outlineLevel="0" collapsed="false">
      <c r="A106" s="61" t="n">
        <f aca="false">Fwd_curves!A136</f>
        <v>38169</v>
      </c>
      <c r="B106" s="0" t="n">
        <f aca="false">IF($A106&lt;$B$5,0,IF($A106&gt;$B$6,0,Fwd_curves!H136))</f>
        <v>3.63477823144138</v>
      </c>
      <c r="C106" s="0" t="n">
        <f aca="false">IF($A106&lt;$B$5,0,IF($A106&gt;$B$6,0,Fwd_curves!J136))</f>
        <v>115.717672122943</v>
      </c>
      <c r="D106" s="0" t="n">
        <f aca="false">IF($A106&lt;$B$5,0,IF($A106&gt;$B$6,0,Fwd_curves!K136))</f>
        <v>147.347169169881</v>
      </c>
      <c r="E106" s="0" t="n">
        <f aca="false">IF($A106&lt;$B$5,0,IF($A106&gt;$B$6,0,Fwd_curves!L136))</f>
        <v>191.822979365341</v>
      </c>
      <c r="F106" s="0" t="n">
        <f aca="false">IF($A106&lt;$B$5,0,IF($A106&gt;$B$6,0,Fwd_curves!M136))</f>
        <v>160.90724135878</v>
      </c>
      <c r="G106" s="0" t="n">
        <f aca="false">IF($A106&lt;$B$5,0,IF($A106&gt;$B$6,0,Fwd_curves!N136))</f>
        <v>12.6615827963921</v>
      </c>
      <c r="H106" s="54" t="n">
        <f aca="false">IF($A106&lt;$B$5,0,IF($A106&gt;$B$6,0,Fwd_curves!O136))</f>
        <v>270.674613221875</v>
      </c>
      <c r="I106" s="54" t="n">
        <f aca="false">IF($A106&lt;$B$5,0,IF($A106&gt;$B$6,0,Fwd_curves!P136))</f>
        <v>194.221890358114</v>
      </c>
      <c r="J106" s="0" t="n">
        <f aca="false">IF($A106&lt;$B$5,0,IF($A106&gt;$B$6,0,Fwd_curves!Q136))</f>
        <v>5.16924541841728</v>
      </c>
      <c r="K106" s="0" t="n">
        <f aca="false">IF(B106=0,0,$B$9*B106)</f>
        <v>90.8694557860344</v>
      </c>
      <c r="L106" s="56" t="n">
        <f aca="false">external_curves!AB66</f>
        <v>22</v>
      </c>
      <c r="M106" s="56" t="n">
        <f aca="false">external_curves!AA66</f>
        <v>9</v>
      </c>
      <c r="N106" s="138" t="n">
        <f aca="false">(L106*16*$K106)</f>
        <v>31986.0484366841</v>
      </c>
      <c r="O106" s="138" t="n">
        <f aca="false">(L106*13*$K106)</f>
        <v>25988.6643548058</v>
      </c>
      <c r="P106" s="138" t="n">
        <f aca="false">(M106*24*$K106)</f>
        <v>19627.8024497834</v>
      </c>
      <c r="Q106" s="138" t="n">
        <f aca="false">((L106+M106)*K106)*24</f>
        <v>67606.8751048096</v>
      </c>
      <c r="R106" s="0" t="n">
        <f aca="false">L106*8*K106</f>
        <v>15993.0242183421</v>
      </c>
      <c r="T106" s="0" t="n">
        <f aca="false">IF(N106=0,0,$L106*16)*$B$9</f>
        <v>8800</v>
      </c>
      <c r="U106" s="0" t="n">
        <f aca="false">IF(O106=0,0,$L106*13)*$B$9</f>
        <v>7150</v>
      </c>
      <c r="V106" s="0" t="n">
        <f aca="false">IF(P106=0,0,$M106*24)*$B$9</f>
        <v>5400</v>
      </c>
      <c r="W106" s="0" t="n">
        <f aca="false">IF(Q106=0,0,($L106+$M106)*24)*$B$9</f>
        <v>18600</v>
      </c>
      <c r="X106" s="0" t="n">
        <f aca="false">IF(R106=0,0,$L106*8)*$B$9</f>
        <v>4400</v>
      </c>
    </row>
    <row r="107" customFormat="false" ht="12.75" hidden="false" customHeight="false" outlineLevel="0" collapsed="false">
      <c r="A107" s="61" t="n">
        <f aca="false">Fwd_curves!A137</f>
        <v>38200</v>
      </c>
      <c r="B107" s="0" t="n">
        <f aca="false">IF($A107&lt;$B$5,0,IF($A107&gt;$B$6,0,Fwd_curves!H137))</f>
        <v>3.61654759743484</v>
      </c>
      <c r="C107" s="0" t="n">
        <f aca="false">IF($A107&lt;$B$5,0,IF($A107&gt;$B$6,0,Fwd_curves!J137))</f>
        <v>115.137277283359</v>
      </c>
      <c r="D107" s="0" t="n">
        <f aca="false">IF($A107&lt;$B$5,0,IF($A107&gt;$B$6,0,Fwd_curves!K137))</f>
        <v>154.437467929412</v>
      </c>
      <c r="E107" s="0" t="n">
        <f aca="false">IF($A107&lt;$B$5,0,IF($A107&gt;$B$6,0,Fwd_curves!L137))</f>
        <v>190.10033606172</v>
      </c>
      <c r="F107" s="0" t="n">
        <f aca="false">IF($A107&lt;$B$5,0,IF($A107&gt;$B$6,0,Fwd_curves!M137))</f>
        <v>162.013403452083</v>
      </c>
      <c r="G107" s="0" t="n">
        <f aca="false">IF($A107&lt;$B$5,0,IF($A107&gt;$B$6,0,Fwd_curves!N137))</f>
        <v>12.5478769677703</v>
      </c>
      <c r="H107" s="54" t="n">
        <f aca="false">IF($A107&lt;$B$5,0,IF($A107&gt;$B$6,0,Fwd_curves!O137))</f>
        <v>338.493247599306</v>
      </c>
      <c r="I107" s="54" t="n">
        <f aca="false">IF($A107&lt;$B$5,0,IF($A107&gt;$B$6,0,Fwd_curves!P137))</f>
        <v>255.942444135125</v>
      </c>
      <c r="J107" s="0" t="n">
        <f aca="false">IF($A107&lt;$B$5,0,IF($A107&gt;$B$6,0,Fwd_curves!Q137))</f>
        <v>5.13939263768162</v>
      </c>
      <c r="K107" s="0" t="n">
        <f aca="false">IF(B107=0,0,$B$9*B107)</f>
        <v>90.413689935871</v>
      </c>
      <c r="L107" s="56" t="n">
        <f aca="false">external_curves!AB67</f>
        <v>22</v>
      </c>
      <c r="M107" s="56" t="n">
        <f aca="false">external_curves!AA67</f>
        <v>9</v>
      </c>
      <c r="N107" s="138" t="n">
        <f aca="false">(L107*16*$K107)</f>
        <v>31825.6188574266</v>
      </c>
      <c r="O107" s="138" t="n">
        <f aca="false">(L107*13*$K107)</f>
        <v>25858.3153216591</v>
      </c>
      <c r="P107" s="138" t="n">
        <f aca="false">(M107*24*$K107)</f>
        <v>19529.3570261481</v>
      </c>
      <c r="Q107" s="138" t="n">
        <f aca="false">((L107+M107)*K107)*24</f>
        <v>67267.785312288</v>
      </c>
      <c r="R107" s="0" t="n">
        <f aca="false">L107*8*K107</f>
        <v>15912.8094287133</v>
      </c>
      <c r="T107" s="0" t="n">
        <f aca="false">IF(N107=0,0,$L107*16)*$B$9</f>
        <v>8800</v>
      </c>
      <c r="U107" s="0" t="n">
        <f aca="false">IF(O107=0,0,$L107*13)*$B$9</f>
        <v>7150</v>
      </c>
      <c r="V107" s="0" t="n">
        <f aca="false">IF(P107=0,0,$M107*24)*$B$9</f>
        <v>5400</v>
      </c>
      <c r="W107" s="0" t="n">
        <f aca="false">IF(Q107=0,0,($L107+$M107)*24)*$B$9</f>
        <v>18600</v>
      </c>
      <c r="X107" s="0" t="n">
        <f aca="false">IF(R107=0,0,$L107*8)*$B$9</f>
        <v>4400</v>
      </c>
    </row>
    <row r="108" customFormat="false" ht="12.75" hidden="false" customHeight="false" outlineLevel="0" collapsed="false">
      <c r="A108" s="61" t="n">
        <f aca="false">Fwd_curves!A138</f>
        <v>38231</v>
      </c>
      <c r="B108" s="0" t="n">
        <f aca="false">IF($A108&lt;$B$5,0,IF($A108&gt;$B$6,0,Fwd_curves!H138))</f>
        <v>3.59840466454212</v>
      </c>
      <c r="C108" s="0" t="n">
        <f aca="false">IF($A108&lt;$B$5,0,IF($A108&gt;$B$6,0,Fwd_curves!J138))</f>
        <v>114.559674517482</v>
      </c>
      <c r="D108" s="0" t="n">
        <f aca="false">IF($A108&lt;$B$5,0,IF($A108&gt;$B$6,0,Fwd_curves!K138))</f>
        <v>153.662710086116</v>
      </c>
      <c r="E108" s="0" t="n">
        <f aca="false">IF($A108&lt;$B$5,0,IF($A108&gt;$B$6,0,Fwd_curves!L138))</f>
        <v>188.171117791129</v>
      </c>
      <c r="F108" s="0" t="n">
        <f aca="false">IF($A108&lt;$B$5,0,IF($A108&gt;$B$6,0,Fwd_curves!M138))</f>
        <v>160.974967380679</v>
      </c>
      <c r="G108" s="0" t="n">
        <f aca="false">IF($A108&lt;$B$5,0,IF($A108&gt;$B$6,0,Fwd_curves!N138))</f>
        <v>12.4205358277973</v>
      </c>
      <c r="H108" s="54" t="n">
        <f aca="false">IF($A108&lt;$B$5,0,IF($A108&gt;$B$6,0,Fwd_curves!O138))</f>
        <v>274.646932619756</v>
      </c>
      <c r="I108" s="54" t="n">
        <f aca="false">IF($A108&lt;$B$5,0,IF($A108&gt;$B$6,0,Fwd_curves!P138))</f>
        <v>211.002651179602</v>
      </c>
      <c r="J108" s="0" t="n">
        <f aca="false">IF($A108&lt;$B$5,0,IF($A108&gt;$B$6,0,Fwd_curves!Q138))</f>
        <v>5.10971037432104</v>
      </c>
      <c r="K108" s="0" t="n">
        <f aca="false">IF(B108=0,0,$B$9*B108)</f>
        <v>89.960116613553</v>
      </c>
      <c r="L108" s="56" t="n">
        <f aca="false">external_curves!AB68</f>
        <v>22</v>
      </c>
      <c r="M108" s="56" t="n">
        <f aca="false">external_curves!AA68</f>
        <v>8</v>
      </c>
      <c r="N108" s="138" t="n">
        <f aca="false">(L108*16*$K108)</f>
        <v>31665.9610479707</v>
      </c>
      <c r="O108" s="138" t="n">
        <f aca="false">(L108*13*$K108)</f>
        <v>25728.5933514762</v>
      </c>
      <c r="P108" s="138" t="n">
        <f aca="false">(M108*24*$K108)</f>
        <v>17272.3423898022</v>
      </c>
      <c r="Q108" s="138" t="n">
        <f aca="false">((L108+M108)*K108)*24</f>
        <v>64771.2839617582</v>
      </c>
      <c r="R108" s="0" t="n">
        <f aca="false">L108*8*K108</f>
        <v>15832.9805239853</v>
      </c>
      <c r="T108" s="0" t="n">
        <f aca="false">IF(N108=0,0,$L108*16)*$B$9</f>
        <v>8800</v>
      </c>
      <c r="U108" s="0" t="n">
        <f aca="false">IF(O108=0,0,$L108*13)*$B$9</f>
        <v>7150</v>
      </c>
      <c r="V108" s="0" t="n">
        <f aca="false">IF(P108=0,0,$M108*24)*$B$9</f>
        <v>4800</v>
      </c>
      <c r="W108" s="0" t="n">
        <f aca="false">IF(Q108=0,0,($L108+$M108)*24)*$B$9</f>
        <v>18000</v>
      </c>
      <c r="X108" s="0" t="n">
        <f aca="false">IF(R108=0,0,$L108*8)*$B$9</f>
        <v>4400</v>
      </c>
    </row>
    <row r="109" customFormat="false" ht="12.75" hidden="false" customHeight="false" outlineLevel="0" collapsed="false">
      <c r="A109" s="61" t="n">
        <f aca="false">Fwd_curves!A139</f>
        <v>38261</v>
      </c>
      <c r="B109" s="0" t="n">
        <f aca="false">IF($A109&lt;$B$5,0,IF($A109&gt;$B$6,0,Fwd_curves!H139))</f>
        <v>3.58093011171004</v>
      </c>
      <c r="C109" s="0" t="n">
        <f aca="false">IF($A109&lt;$B$5,0,IF($A109&gt;$B$6,0,Fwd_curves!J139))</f>
        <v>114.003350459628</v>
      </c>
      <c r="D109" s="0" t="n">
        <f aca="false">IF($A109&lt;$B$5,0,IF($A109&gt;$B$6,0,Fwd_curves!K139))</f>
        <v>152.004467279504</v>
      </c>
      <c r="E109" s="0" t="n">
        <f aca="false">IF($A109&lt;$B$5,0,IF($A109&gt;$B$6,0,Fwd_curves!L139))</f>
        <v>188.328334866081</v>
      </c>
      <c r="F109" s="0" t="n">
        <f aca="false">IF($A109&lt;$B$5,0,IF($A109&gt;$B$6,0,Fwd_curves!M139))</f>
        <v>159.827897230244</v>
      </c>
      <c r="G109" s="0" t="n">
        <f aca="false">IF($A109&lt;$B$5,0,IF($A109&gt;$B$6,0,Fwd_curves!N139))</f>
        <v>12.4309131924806</v>
      </c>
      <c r="H109" s="54" t="n">
        <f aca="false">IF($A109&lt;$B$5,0,IF($A109&gt;$B$6,0,Fwd_curves!O139))</f>
        <v>193.083587958234</v>
      </c>
      <c r="I109" s="54" t="n">
        <f aca="false">IF($A109&lt;$B$5,0,IF($A109&gt;$B$6,0,Fwd_curves!P139))</f>
        <v>164.283591834158</v>
      </c>
      <c r="J109" s="0" t="n">
        <f aca="false">IF($A109&lt;$B$5,0,IF($A109&gt;$B$6,0,Fwd_curves!Q139))</f>
        <v>5.08114705153246</v>
      </c>
      <c r="K109" s="0" t="n">
        <f aca="false">IF(B109=0,0,$B$9*B109)</f>
        <v>89.523252792751</v>
      </c>
      <c r="L109" s="56" t="n">
        <f aca="false">external_curves!AB69</f>
        <v>21</v>
      </c>
      <c r="M109" s="56" t="n">
        <f aca="false">external_curves!AA69</f>
        <v>10</v>
      </c>
      <c r="N109" s="138" t="n">
        <f aca="false">(L109*16*$K109)</f>
        <v>30079.8129383643</v>
      </c>
      <c r="O109" s="138" t="n">
        <f aca="false">(L109*13*$K109)</f>
        <v>24439.848012421</v>
      </c>
      <c r="P109" s="138" t="n">
        <f aca="false">(M109*24*$K109)</f>
        <v>21485.5806702602</v>
      </c>
      <c r="Q109" s="138" t="n">
        <f aca="false">((L109+M109)*K109)*24</f>
        <v>66605.3000778067</v>
      </c>
      <c r="R109" s="0" t="n">
        <f aca="false">L109*8*K109</f>
        <v>15039.9064691822</v>
      </c>
      <c r="T109" s="0" t="n">
        <f aca="false">IF(N109=0,0,$L109*16)*$B$9</f>
        <v>8400</v>
      </c>
      <c r="U109" s="0" t="n">
        <f aca="false">IF(O109=0,0,$L109*13)*$B$9</f>
        <v>6825</v>
      </c>
      <c r="V109" s="0" t="n">
        <f aca="false">IF(P109=0,0,$M109*24)*$B$9</f>
        <v>6000</v>
      </c>
      <c r="W109" s="0" t="n">
        <f aca="false">IF(Q109=0,0,($L109+$M109)*24)*$B$9</f>
        <v>18600</v>
      </c>
      <c r="X109" s="0" t="n">
        <f aca="false">IF(R109=0,0,$L109*8)*$B$9</f>
        <v>4200</v>
      </c>
    </row>
    <row r="110" customFormat="false" ht="12.75" hidden="false" customHeight="false" outlineLevel="0" collapsed="false">
      <c r="A110" s="61" t="n">
        <f aca="false">Fwd_curves!A140</f>
        <v>38292</v>
      </c>
      <c r="B110" s="0" t="n">
        <f aca="false">IF($A110&lt;$B$5,0,IF($A110&gt;$B$6,0,Fwd_curves!H140))</f>
        <v>3.56295857882273</v>
      </c>
      <c r="C110" s="0" t="n">
        <f aca="false">IF($A110&lt;$B$5,0,IF($A110&gt;$B$6,0,Fwd_curves!J140))</f>
        <v>124.774324868005</v>
      </c>
      <c r="D110" s="0" t="n">
        <f aca="false">IF($A110&lt;$B$5,0,IF($A110&gt;$B$6,0,Fwd_curves!K140))</f>
        <v>151.241605900613</v>
      </c>
      <c r="E110" s="0" t="n">
        <f aca="false">IF($A110&lt;$B$5,0,IF($A110&gt;$B$6,0,Fwd_curves!L140))</f>
        <v>196.949081269885</v>
      </c>
      <c r="F110" s="0" t="n">
        <f aca="false">IF($A110&lt;$B$5,0,IF($A110&gt;$B$6,0,Fwd_curves!M140))</f>
        <v>167.117702939842</v>
      </c>
      <c r="G110" s="0" t="n">
        <f aca="false">IF($A110&lt;$B$5,0,IF($A110&gt;$B$6,0,Fwd_curves!N140))</f>
        <v>12.9999393577482</v>
      </c>
      <c r="H110" s="54" t="n">
        <f aca="false">IF($A110&lt;$B$5,0,IF($A110&gt;$B$6,0,Fwd_curves!O140))</f>
        <v>171.761115534041</v>
      </c>
      <c r="I110" s="54" t="n">
        <f aca="false">IF($A110&lt;$B$5,0,IF($A110&gt;$B$6,0,Fwd_curves!P140))</f>
        <v>147.603700469347</v>
      </c>
      <c r="J110" s="0" t="n">
        <f aca="false">IF($A110&lt;$B$5,0,IF($A110&gt;$B$6,0,Fwd_curves!Q140))</f>
        <v>5.05179751570709</v>
      </c>
      <c r="K110" s="0" t="n">
        <f aca="false">IF(B110=0,0,$B$9*B110)</f>
        <v>89.0739644705683</v>
      </c>
      <c r="L110" s="56" t="n">
        <f aca="false">external_curves!AB70</f>
        <v>22</v>
      </c>
      <c r="M110" s="56" t="n">
        <f aca="false">external_curves!AA70</f>
        <v>8</v>
      </c>
      <c r="N110" s="138" t="n">
        <f aca="false">(L110*16*$K110)</f>
        <v>31354.03549364</v>
      </c>
      <c r="O110" s="138" t="n">
        <f aca="false">(L110*13*$K110)</f>
        <v>25475.1538385825</v>
      </c>
      <c r="P110" s="138" t="n">
        <f aca="false">(M110*24*$K110)</f>
        <v>17102.2011783491</v>
      </c>
      <c r="Q110" s="138" t="n">
        <f aca="false">((L110+M110)*K110)*24</f>
        <v>64133.2544188092</v>
      </c>
      <c r="R110" s="0" t="n">
        <f aca="false">L110*8*K110</f>
        <v>15677.01774682</v>
      </c>
      <c r="T110" s="0" t="n">
        <f aca="false">IF(N110=0,0,$L110*16)*$B$9</f>
        <v>8800</v>
      </c>
      <c r="U110" s="0" t="n">
        <f aca="false">IF(O110=0,0,$L110*13)*$B$9</f>
        <v>7150</v>
      </c>
      <c r="V110" s="0" t="n">
        <f aca="false">IF(P110=0,0,$M110*24)*$B$9</f>
        <v>4800</v>
      </c>
      <c r="W110" s="0" t="n">
        <f aca="false">IF(Q110=0,0,($L110+$M110)*24)*$B$9</f>
        <v>18000</v>
      </c>
      <c r="X110" s="0" t="n">
        <f aca="false">IF(R110=0,0,$L110*8)*$B$9</f>
        <v>4400</v>
      </c>
    </row>
    <row r="111" customFormat="false" ht="12.75" hidden="false" customHeight="false" outlineLevel="0" collapsed="false">
      <c r="A111" s="61" t="n">
        <f aca="false">Fwd_curves!A141</f>
        <v>38322</v>
      </c>
      <c r="B111" s="0" t="n">
        <f aca="false">IF($A111&lt;$B$5,0,IF($A111&gt;$B$6,0,Fwd_curves!H141))</f>
        <v>3.5456491479626</v>
      </c>
      <c r="C111" s="0" t="n">
        <f aca="false">IF($A111&lt;$B$5,0,IF($A111&gt;$B$6,0,Fwd_curves!J141))</f>
        <v>124.168150953366</v>
      </c>
      <c r="D111" s="0" t="n">
        <f aca="false">IF($A111&lt;$B$5,0,IF($A111&gt;$B$6,0,Fwd_curves!K141))</f>
        <v>150.506849640444</v>
      </c>
      <c r="E111" s="0" t="n">
        <f aca="false">IF($A111&lt;$B$5,0,IF($A111&gt;$B$6,0,Fwd_curves!L141))</f>
        <v>202.789180293526</v>
      </c>
      <c r="F111" s="0" t="n">
        <f aca="false">IF($A111&lt;$B$5,0,IF($A111&gt;$B$6,0,Fwd_curves!M141))</f>
        <v>169.853055449465</v>
      </c>
      <c r="G111" s="0" t="n">
        <f aca="false">IF($A111&lt;$B$5,0,IF($A111&gt;$B$6,0,Fwd_curves!N141))</f>
        <v>13.3854244418169</v>
      </c>
      <c r="H111" s="54" t="n">
        <f aca="false">IF($A111&lt;$B$5,0,IF($A111&gt;$B$6,0,Fwd_curves!O141))</f>
        <v>170.800849531151</v>
      </c>
      <c r="I111" s="54" t="n">
        <f aca="false">IF($A111&lt;$B$5,0,IF($A111&gt;$B$6,0,Fwd_curves!P141))</f>
        <v>142.307032918981</v>
      </c>
      <c r="J111" s="0" t="n">
        <f aca="false">IF($A111&lt;$B$5,0,IF($A111&gt;$B$6,0,Fwd_curves!Q141))</f>
        <v>5.02355439797504</v>
      </c>
      <c r="K111" s="0" t="n">
        <f aca="false">IF(B111=0,0,$B$9*B111)</f>
        <v>88.6412286990651</v>
      </c>
      <c r="L111" s="56" t="n">
        <f aca="false">external_curves!AB71</f>
        <v>23</v>
      </c>
      <c r="M111" s="56" t="n">
        <f aca="false">external_curves!AA71</f>
        <v>8</v>
      </c>
      <c r="N111" s="138" t="n">
        <f aca="false">(L111*16*$K111)</f>
        <v>32619.972161256</v>
      </c>
      <c r="O111" s="138" t="n">
        <f aca="false">(L111*13*$K111)</f>
        <v>26503.7273810205</v>
      </c>
      <c r="P111" s="138" t="n">
        <f aca="false">(M111*24*$K111)</f>
        <v>17019.1159102205</v>
      </c>
      <c r="Q111" s="138" t="n">
        <f aca="false">((L111+M111)*K111)*24</f>
        <v>65949.0741521044</v>
      </c>
      <c r="R111" s="0" t="n">
        <f aca="false">L111*8*K111</f>
        <v>16309.986080628</v>
      </c>
      <c r="T111" s="0" t="n">
        <f aca="false">IF(N111=0,0,$L111*16)*$B$9</f>
        <v>9200</v>
      </c>
      <c r="U111" s="0" t="n">
        <f aca="false">IF(O111=0,0,$L111*13)*$B$9</f>
        <v>7475</v>
      </c>
      <c r="V111" s="0" t="n">
        <f aca="false">IF(P111=0,0,$M111*24)*$B$9</f>
        <v>4800</v>
      </c>
      <c r="W111" s="0" t="n">
        <f aca="false">IF(Q111=0,0,($L111+$M111)*24)*$B$9</f>
        <v>18600</v>
      </c>
      <c r="X111" s="0" t="n">
        <f aca="false">IF(R111=0,0,$L111*8)*$B$9</f>
        <v>4600</v>
      </c>
    </row>
    <row r="112" customFormat="false" ht="12.75" hidden="false" customHeight="false" outlineLevel="0" collapsed="false">
      <c r="A112" s="61" t="n">
        <f aca="false">Fwd_curves!A142</f>
        <v>38353</v>
      </c>
      <c r="B112" s="0" t="n">
        <f aca="false">IF($A112&lt;$B$5,0,IF($A112&gt;$B$6,0,Fwd_curves!H142))</f>
        <v>3.52784747047098</v>
      </c>
      <c r="C112" s="0" t="n">
        <f aca="false">IF($A112&lt;$B$5,0,IF($A112&gt;$B$6,0,Fwd_curves!J142))</f>
        <v>126.015633401211</v>
      </c>
      <c r="D112" s="0" t="n">
        <f aca="false">IF($A112&lt;$B$5,0,IF($A112&gt;$B$6,0,Fwd_curves!K142))</f>
        <v>147.018238968079</v>
      </c>
      <c r="E112" s="0" t="n">
        <f aca="false">IF($A112&lt;$B$5,0,IF($A112&gt;$B$6,0,Fwd_curves!L142))</f>
        <v>211.954818536613</v>
      </c>
      <c r="F112" s="0" t="n">
        <f aca="false">IF($A112&lt;$B$5,0,IF($A112&gt;$B$6,0,Fwd_curves!M142))</f>
        <v>171.601912354898</v>
      </c>
      <c r="G112" s="0" t="n">
        <f aca="false">IF($A112&lt;$B$5,0,IF($A112&gt;$B$6,0,Fwd_curves!N142))</f>
        <v>14.0367429494446</v>
      </c>
      <c r="H112" s="54" t="n">
        <f aca="false">IF($A112&lt;$B$5,0,IF($A112&gt;$B$6,0,Fwd_curves!O142))</f>
        <v>119.868813646447</v>
      </c>
      <c r="I112" s="54" t="n">
        <f aca="false">IF($A112&lt;$B$5,0,IF($A112&gt;$B$6,0,Fwd_curves!P142))</f>
        <v>110.551054162729</v>
      </c>
      <c r="J112" s="0" t="n">
        <f aca="false">IF($A112&lt;$B$5,0,IF($A112&gt;$B$6,0,Fwd_curves!Q142))</f>
        <v>4.99453390193531</v>
      </c>
      <c r="K112" s="0" t="n">
        <f aca="false">IF(B112=0,0,$B$9*B112)</f>
        <v>88.1961867617746</v>
      </c>
      <c r="L112" s="56" t="n">
        <f aca="false">external_curves!AB72</f>
        <v>21</v>
      </c>
      <c r="M112" s="56" t="n">
        <f aca="false">external_curves!AA72</f>
        <v>10</v>
      </c>
      <c r="N112" s="138" t="n">
        <f aca="false">(L112*16*$K112)</f>
        <v>29633.9187519563</v>
      </c>
      <c r="O112" s="138" t="n">
        <f aca="false">(L112*13*$K112)</f>
        <v>24077.5589859645</v>
      </c>
      <c r="P112" s="138" t="n">
        <f aca="false">(M112*24*$K112)</f>
        <v>21167.0848228259</v>
      </c>
      <c r="Q112" s="138" t="n">
        <f aca="false">((L112+M112)*K112)*24</f>
        <v>65617.9629507603</v>
      </c>
      <c r="R112" s="0" t="n">
        <f aca="false">L112*8*K112</f>
        <v>14816.9593759781</v>
      </c>
      <c r="T112" s="0" t="n">
        <f aca="false">IF(N112=0,0,$L112*16)*$B$9</f>
        <v>8400</v>
      </c>
      <c r="U112" s="0" t="n">
        <f aca="false">IF(O112=0,0,$L112*13)*$B$9</f>
        <v>6825</v>
      </c>
      <c r="V112" s="0" t="n">
        <f aca="false">IF(P112=0,0,$M112*24)*$B$9</f>
        <v>6000</v>
      </c>
      <c r="W112" s="0" t="n">
        <f aca="false">IF(Q112=0,0,($L112+$M112)*24)*$B$9</f>
        <v>18600</v>
      </c>
      <c r="X112" s="0" t="n">
        <f aca="false">IF(R112=0,0,$L112*8)*$B$9</f>
        <v>4200</v>
      </c>
    </row>
    <row r="113" customFormat="false" ht="12.75" hidden="false" customHeight="false" outlineLevel="0" collapsed="false">
      <c r="A113" s="61" t="n">
        <f aca="false">Fwd_curves!A143</f>
        <v>38384</v>
      </c>
      <c r="B113" s="0" t="n">
        <f aca="false">IF($A113&lt;$B$5,0,IF($A113&gt;$B$6,0,Fwd_curves!H143))</f>
        <v>3.51013152521962</v>
      </c>
      <c r="C113" s="0" t="n">
        <f aca="false">IF($A113&lt;$B$5,0,IF($A113&gt;$B$6,0,Fwd_curves!J143))</f>
        <v>113.984377461827</v>
      </c>
      <c r="D113" s="0" t="n">
        <f aca="false">IF($A113&lt;$B$5,0,IF($A113&gt;$B$6,0,Fwd_curves!K143))</f>
        <v>142.480471827284</v>
      </c>
      <c r="E113" s="0" t="n">
        <f aca="false">IF($A113&lt;$B$5,0,IF($A113&gt;$B$6,0,Fwd_curves!L143))</f>
        <v>202.418423812909</v>
      </c>
      <c r="F113" s="0" t="n">
        <f aca="false">IF($A113&lt;$B$5,0,IF($A113&gt;$B$6,0,Fwd_curves!M143))</f>
        <v>164.237569352473</v>
      </c>
      <c r="G113" s="0" t="n">
        <f aca="false">IF($A113&lt;$B$5,0,IF($A113&gt;$B$6,0,Fwd_curves!N143))</f>
        <v>13.405193629994</v>
      </c>
      <c r="H113" s="54" t="n">
        <f aca="false">IF($A113&lt;$B$5,0,IF($A113&gt;$B$6,0,Fwd_curves!O143))</f>
        <v>109.244942895881</v>
      </c>
      <c r="I113" s="54" t="n">
        <f aca="false">IF($A113&lt;$B$5,0,IF($A113&gt;$B$6,0,Fwd_curves!P143))</f>
        <v>103.274304783065</v>
      </c>
      <c r="J113" s="0" t="n">
        <f aca="false">IF($A113&lt;$B$5,0,IF($A113&gt;$B$6,0,Fwd_curves!Q143))</f>
        <v>4.96567922254007</v>
      </c>
      <c r="K113" s="0" t="n">
        <f aca="false">IF(B113=0,0,$B$9*B113)</f>
        <v>87.7532881304906</v>
      </c>
      <c r="L113" s="56" t="n">
        <f aca="false">external_curves!AB73</f>
        <v>20</v>
      </c>
      <c r="M113" s="56" t="n">
        <f aca="false">external_curves!AA73</f>
        <v>8</v>
      </c>
      <c r="N113" s="138" t="n">
        <f aca="false">(L113*16*$K113)</f>
        <v>28081.052201757</v>
      </c>
      <c r="O113" s="138" t="n">
        <f aca="false">(L113*13*$K113)</f>
        <v>22815.8549139276</v>
      </c>
      <c r="P113" s="138" t="n">
        <f aca="false">(M113*24*$K113)</f>
        <v>16848.6313210542</v>
      </c>
      <c r="Q113" s="138" t="n">
        <f aca="false">((L113+M113)*K113)*24</f>
        <v>58970.2096236897</v>
      </c>
      <c r="R113" s="0" t="n">
        <f aca="false">L113*8*K113</f>
        <v>14040.5261008785</v>
      </c>
      <c r="T113" s="0" t="n">
        <f aca="false">IF(N113=0,0,$L113*16)*$B$9</f>
        <v>8000</v>
      </c>
      <c r="U113" s="0" t="n">
        <f aca="false">IF(O113=0,0,$L113*13)*$B$9</f>
        <v>6500</v>
      </c>
      <c r="V113" s="0" t="n">
        <f aca="false">IF(P113=0,0,$M113*24)*$B$9</f>
        <v>4800</v>
      </c>
      <c r="W113" s="0" t="n">
        <f aca="false">IF(Q113=0,0,($L113+$M113)*24)*$B$9</f>
        <v>16800</v>
      </c>
      <c r="X113" s="0" t="n">
        <f aca="false">IF(R113=0,0,$L113*8)*$B$9</f>
        <v>4000</v>
      </c>
    </row>
    <row r="114" customFormat="false" ht="12.75" hidden="false" customHeight="false" outlineLevel="0" collapsed="false">
      <c r="A114" s="61" t="n">
        <f aca="false">Fwd_curves!A144</f>
        <v>38412</v>
      </c>
      <c r="B114" s="0" t="n">
        <f aca="false">IF($A114&lt;$B$5,0,IF($A114&gt;$B$6,0,Fwd_curves!H144))</f>
        <v>3.49420338738268</v>
      </c>
      <c r="C114" s="0" t="n">
        <f aca="false">IF($A114&lt;$B$5,0,IF($A114&gt;$B$6,0,Fwd_curves!J144))</f>
        <v>117.249381722602</v>
      </c>
      <c r="D114" s="0" t="n">
        <f aca="false">IF($A114&lt;$B$5,0,IF($A114&gt;$B$6,0,Fwd_curves!K144))</f>
        <v>141.833929503148</v>
      </c>
      <c r="E114" s="0" t="n">
        <f aca="false">IF($A114&lt;$B$5,0,IF($A114&gt;$B$6,0,Fwd_curves!L144))</f>
        <v>192.113325965334</v>
      </c>
      <c r="F114" s="0" t="n">
        <f aca="false">IF($A114&lt;$B$5,0,IF($A114&gt;$B$6,0,Fwd_curves!M144))</f>
        <v>160.62325894732</v>
      </c>
      <c r="G114" s="0" t="n">
        <f aca="false">IF($A114&lt;$B$5,0,IF($A114&gt;$B$6,0,Fwd_curves!N144))</f>
        <v>12.7227368188963</v>
      </c>
      <c r="H114" s="54" t="n">
        <f aca="false">IF($A114&lt;$B$5,0,IF($A114&gt;$B$6,0,Fwd_curves!O144))</f>
        <v>98.7951735028993</v>
      </c>
      <c r="I114" s="54" t="n">
        <f aca="false">IF($A114&lt;$B$5,0,IF($A114&gt;$B$6,0,Fwd_curves!P144))</f>
        <v>93.2047476904369</v>
      </c>
      <c r="J114" s="0" t="n">
        <f aca="false">IF($A114&lt;$B$5,0,IF($A114&gt;$B$6,0,Fwd_curves!Q144))</f>
        <v>4.93975867514497</v>
      </c>
      <c r="K114" s="0" t="n">
        <f aca="false">IF(B114=0,0,$B$9*B114)</f>
        <v>87.3550846845669</v>
      </c>
      <c r="L114" s="56" t="n">
        <f aca="false">external_curves!AB74</f>
        <v>23</v>
      </c>
      <c r="M114" s="56" t="n">
        <f aca="false">external_curves!AA74</f>
        <v>8</v>
      </c>
      <c r="N114" s="138" t="n">
        <f aca="false">(L114*16*$K114)</f>
        <v>32146.6711639206</v>
      </c>
      <c r="O114" s="138" t="n">
        <f aca="false">(L114*13*$K114)</f>
        <v>26119.1703206855</v>
      </c>
      <c r="P114" s="138" t="n">
        <f aca="false">(M114*24*$K114)</f>
        <v>16772.1762594368</v>
      </c>
      <c r="Q114" s="138" t="n">
        <f aca="false">((L114+M114)*K114)*24</f>
        <v>64992.1830053178</v>
      </c>
      <c r="R114" s="0" t="n">
        <f aca="false">L114*8*K114</f>
        <v>16073.3355819603</v>
      </c>
      <c r="T114" s="0" t="n">
        <f aca="false">IF(N114=0,0,$L114*16)*$B$9</f>
        <v>9200</v>
      </c>
      <c r="U114" s="0" t="n">
        <f aca="false">IF(O114=0,0,$L114*13)*$B$9</f>
        <v>7475</v>
      </c>
      <c r="V114" s="0" t="n">
        <f aca="false">IF(P114=0,0,$M114*24)*$B$9</f>
        <v>4800</v>
      </c>
      <c r="W114" s="0" t="n">
        <f aca="false">IF(Q114=0,0,($L114+$M114)*24)*$B$9</f>
        <v>18600</v>
      </c>
      <c r="X114" s="0" t="n">
        <f aca="false">IF(R114=0,0,$L114*8)*$B$9</f>
        <v>4600</v>
      </c>
    </row>
    <row r="115" customFormat="false" ht="12.75" hidden="false" customHeight="false" outlineLevel="0" collapsed="false">
      <c r="A115" s="61" t="n">
        <f aca="false">Fwd_curves!A145</f>
        <v>38443</v>
      </c>
      <c r="B115" s="0" t="n">
        <f aca="false">IF($A115&lt;$B$5,0,IF($A115&gt;$B$6,0,Fwd_curves!H145))</f>
        <v>3.47664952341693</v>
      </c>
      <c r="C115" s="0" t="n">
        <f aca="false">IF($A115&lt;$B$5,0,IF($A115&gt;$B$6,0,Fwd_curves!J145))</f>
        <v>111.015498969257</v>
      </c>
      <c r="D115" s="0" t="n">
        <f aca="false">IF($A115&lt;$B$5,0,IF($A115&gt;$B$6,0,Fwd_curves!K145))</f>
        <v>141.121396994819</v>
      </c>
      <c r="E115" s="0" t="n">
        <f aca="false">IF($A115&lt;$B$5,0,IF($A115&gt;$B$6,0,Fwd_curves!L145))</f>
        <v>178.589954897167</v>
      </c>
      <c r="F115" s="0" t="n">
        <f aca="false">IF($A115&lt;$B$5,0,IF($A115&gt;$B$6,0,Fwd_curves!M145))</f>
        <v>151.582014476617</v>
      </c>
      <c r="G115" s="0" t="n">
        <f aca="false">IF($A115&lt;$B$5,0,IF($A115&gt;$B$6,0,Fwd_curves!N145))</f>
        <v>11.8271493309382</v>
      </c>
      <c r="H115" s="54" t="n">
        <f aca="false">IF($A115&lt;$B$5,0,IF($A115&gt;$B$6,0,Fwd_curves!O145))</f>
        <v>96.9965357241823</v>
      </c>
      <c r="I115" s="54" t="n">
        <f aca="false">IF($A115&lt;$B$5,0,IF($A115&gt;$B$6,0,Fwd_curves!P145))</f>
        <v>80.7691107934127</v>
      </c>
      <c r="J115" s="0" t="n">
        <f aca="false">IF($A115&lt;$B$5,0,IF($A115&gt;$B$6,0,Fwd_curves!Q145))</f>
        <v>4.91121699869277</v>
      </c>
      <c r="K115" s="0" t="n">
        <f aca="false">IF(B115=0,0,$B$9*B115)</f>
        <v>86.9162380854233</v>
      </c>
      <c r="L115" s="56" t="n">
        <f aca="false">external_curves!AB75</f>
        <v>21</v>
      </c>
      <c r="M115" s="56" t="n">
        <f aca="false">external_curves!AA75</f>
        <v>9</v>
      </c>
      <c r="N115" s="138" t="n">
        <f aca="false">(L115*16*$K115)</f>
        <v>29203.8559967022</v>
      </c>
      <c r="O115" s="138" t="n">
        <f aca="false">(L115*13*$K115)</f>
        <v>23728.1329973206</v>
      </c>
      <c r="P115" s="138" t="n">
        <f aca="false">(M115*24*$K115)</f>
        <v>18773.9074264514</v>
      </c>
      <c r="Q115" s="138" t="n">
        <f aca="false">((L115+M115)*K115)*24</f>
        <v>62579.6914215048</v>
      </c>
      <c r="R115" s="0" t="n">
        <f aca="false">L115*8*K115</f>
        <v>14601.9279983511</v>
      </c>
      <c r="T115" s="0" t="n">
        <f aca="false">IF(N115=0,0,$L115*16)*$B$9</f>
        <v>8400</v>
      </c>
      <c r="U115" s="0" t="n">
        <f aca="false">IF(O115=0,0,$L115*13)*$B$9</f>
        <v>6825</v>
      </c>
      <c r="V115" s="0" t="n">
        <f aca="false">IF(P115=0,0,$M115*24)*$B$9</f>
        <v>5400</v>
      </c>
      <c r="W115" s="0" t="n">
        <f aca="false">IF(Q115=0,0,($L115+$M115)*24)*$B$9</f>
        <v>18000</v>
      </c>
      <c r="X115" s="0" t="n">
        <f aca="false">IF(R115=0,0,$L115*8)*$B$9</f>
        <v>4200</v>
      </c>
    </row>
    <row r="116" customFormat="false" ht="12.75" hidden="false" customHeight="false" outlineLevel="0" collapsed="false">
      <c r="A116" s="61" t="n">
        <f aca="false">Fwd_curves!A146</f>
        <v>38473</v>
      </c>
      <c r="B116" s="0" t="n">
        <f aca="false">IF($A116&lt;$B$5,0,IF($A116&gt;$B$6,0,Fwd_curves!H146))</f>
        <v>3.45974246157754</v>
      </c>
      <c r="C116" s="0" t="n">
        <f aca="false">IF($A116&lt;$B$5,0,IF($A116&gt;$B$6,0,Fwd_curves!J146))</f>
        <v>119.837968183331</v>
      </c>
      <c r="D116" s="0" t="n">
        <f aca="false">IF($A116&lt;$B$5,0,IF($A116&gt;$B$6,0,Fwd_curves!K146))</f>
        <v>140.435118964841</v>
      </c>
      <c r="E116" s="0" t="n">
        <f aca="false">IF($A116&lt;$B$5,0,IF($A116&gt;$B$6,0,Fwd_curves!L146))</f>
        <v>175.962985284284</v>
      </c>
      <c r="F116" s="0" t="n">
        <f aca="false">IF($A116&lt;$B$5,0,IF($A116&gt;$B$6,0,Fwd_curves!M146))</f>
        <v>152.37155768379</v>
      </c>
      <c r="G116" s="0" t="n">
        <f aca="false">IF($A116&lt;$B$5,0,IF($A116&gt;$B$6,0,Fwd_curves!N146))</f>
        <v>11.6531778333963</v>
      </c>
      <c r="H116" s="54" t="n">
        <f aca="false">IF($A116&lt;$B$5,0,IF($A116&gt;$B$6,0,Fwd_curves!O146))</f>
        <v>94.012213196168</v>
      </c>
      <c r="I116" s="54" t="n">
        <f aca="false">IF($A116&lt;$B$5,0,IF($A116&gt;$B$6,0,Fwd_curves!P146))</f>
        <v>63.8497973578499</v>
      </c>
      <c r="J116" s="0" t="n">
        <f aca="false">IF($A116&lt;$B$5,0,IF($A116&gt;$B$6,0,Fwd_curves!Q146))</f>
        <v>4.88375133486587</v>
      </c>
      <c r="K116" s="0" t="n">
        <f aca="false">IF(B116=0,0,$B$9*B116)</f>
        <v>86.4935615394385</v>
      </c>
      <c r="L116" s="56" t="n">
        <f aca="false">external_curves!AB76</f>
        <v>22</v>
      </c>
      <c r="M116" s="56" t="n">
        <f aca="false">external_curves!AA76</f>
        <v>9</v>
      </c>
      <c r="N116" s="138" t="n">
        <f aca="false">(L116*16*$K116)</f>
        <v>30445.7336618824</v>
      </c>
      <c r="O116" s="138" t="n">
        <f aca="false">(L116*13*$K116)</f>
        <v>24737.1586002794</v>
      </c>
      <c r="P116" s="138" t="n">
        <f aca="false">(M116*24*$K116)</f>
        <v>18682.6092925187</v>
      </c>
      <c r="Q116" s="138" t="n">
        <f aca="false">((L116+M116)*K116)*24</f>
        <v>64351.2097853423</v>
      </c>
      <c r="R116" s="0" t="n">
        <f aca="false">L116*8*K116</f>
        <v>15222.8668309412</v>
      </c>
      <c r="T116" s="0" t="n">
        <f aca="false">IF(N116=0,0,$L116*16)*$B$9</f>
        <v>8800</v>
      </c>
      <c r="U116" s="0" t="n">
        <f aca="false">IF(O116=0,0,$L116*13)*$B$9</f>
        <v>7150</v>
      </c>
      <c r="V116" s="0" t="n">
        <f aca="false">IF(P116=0,0,$M116*24)*$B$9</f>
        <v>5400</v>
      </c>
      <c r="W116" s="0" t="n">
        <f aca="false">IF(Q116=0,0,($L116+$M116)*24)*$B$9</f>
        <v>18600</v>
      </c>
      <c r="X116" s="0" t="n">
        <f aca="false">IF(R116=0,0,$L116*8)*$B$9</f>
        <v>4400</v>
      </c>
    </row>
    <row r="117" customFormat="false" ht="12.75" hidden="false" customHeight="false" outlineLevel="0" collapsed="false">
      <c r="A117" s="61" t="n">
        <f aca="false">Fwd_curves!A147</f>
        <v>38504</v>
      </c>
      <c r="B117" s="0" t="n">
        <f aca="false">IF($A117&lt;$B$5,0,IF($A117&gt;$B$6,0,Fwd_curves!H147))</f>
        <v>3.44235468592535</v>
      </c>
      <c r="C117" s="0" t="n">
        <f aca="false">IF($A117&lt;$B$5,0,IF($A117&gt;$B$6,0,Fwd_curves!J147))</f>
        <v>119.235693381513</v>
      </c>
      <c r="D117" s="0" t="n">
        <f aca="false">IF($A117&lt;$B$5,0,IF($A117&gt;$B$6,0,Fwd_curves!K147))</f>
        <v>139.729328181461</v>
      </c>
      <c r="E117" s="0" t="n">
        <f aca="false">IF($A117&lt;$B$5,0,IF($A117&gt;$B$6,0,Fwd_curves!L147))</f>
        <v>175.400304485219</v>
      </c>
      <c r="F117" s="0" t="n">
        <f aca="false">IF($A117&lt;$B$5,0,IF($A117&gt;$B$6,0,Fwd_curves!M147))</f>
        <v>152.158916978867</v>
      </c>
      <c r="G117" s="0" t="n">
        <f aca="false">IF($A117&lt;$B$5,0,IF($A117&gt;$B$6,0,Fwd_curves!N147))</f>
        <v>11.6159142043192</v>
      </c>
      <c r="H117" s="54" t="n">
        <f aca="false">IF($A117&lt;$B$5,0,IF($A117&gt;$B$6,0,Fwd_curves!O147))</f>
        <v>98.3244772821432</v>
      </c>
      <c r="I117" s="54" t="n">
        <f aca="false">IF($A117&lt;$B$5,0,IF($A117&gt;$B$6,0,Fwd_curves!P147))</f>
        <v>68.5438948625311</v>
      </c>
      <c r="J117" s="0" t="n">
        <f aca="false">IF($A117&lt;$B$5,0,IF($A117&gt;$B$6,0,Fwd_curves!Q147))</f>
        <v>4.85552974232806</v>
      </c>
      <c r="K117" s="0" t="n">
        <f aca="false">IF(B117=0,0,$B$9*B117)</f>
        <v>86.0588671481336</v>
      </c>
      <c r="L117" s="56" t="n">
        <f aca="false">external_curves!AB77</f>
        <v>22</v>
      </c>
      <c r="M117" s="56" t="n">
        <f aca="false">external_curves!AA77</f>
        <v>8</v>
      </c>
      <c r="N117" s="138" t="n">
        <f aca="false">(L117*16*$K117)</f>
        <v>30292.721236143</v>
      </c>
      <c r="O117" s="138" t="n">
        <f aca="false">(L117*13*$K117)</f>
        <v>24612.8360043662</v>
      </c>
      <c r="P117" s="138" t="n">
        <f aca="false">(M117*24*$K117)</f>
        <v>16523.3024924417</v>
      </c>
      <c r="Q117" s="138" t="n">
        <f aca="false">((L117+M117)*K117)*24</f>
        <v>61962.3843466562</v>
      </c>
      <c r="R117" s="0" t="n">
        <f aca="false">L117*8*K117</f>
        <v>15146.3606180715</v>
      </c>
      <c r="T117" s="0" t="n">
        <f aca="false">IF(N117=0,0,$L117*16)*$B$9</f>
        <v>8800</v>
      </c>
      <c r="U117" s="0" t="n">
        <f aca="false">IF(O117=0,0,$L117*13)*$B$9</f>
        <v>7150</v>
      </c>
      <c r="V117" s="0" t="n">
        <f aca="false">IF(P117=0,0,$M117*24)*$B$9</f>
        <v>4800</v>
      </c>
      <c r="W117" s="0" t="n">
        <f aca="false">IF(Q117=0,0,($L117+$M117)*24)*$B$9</f>
        <v>18000</v>
      </c>
      <c r="X117" s="0" t="n">
        <f aca="false">IF(R117=0,0,$L117*8)*$B$9</f>
        <v>4400</v>
      </c>
    </row>
    <row r="118" customFormat="false" ht="12.75" hidden="false" customHeight="false" outlineLevel="0" collapsed="false">
      <c r="A118" s="61" t="n">
        <f aca="false">Fwd_curves!A148</f>
        <v>38534</v>
      </c>
      <c r="B118" s="0" t="n">
        <f aca="false">IF($A118&lt;$B$5,0,IF($A118&gt;$B$6,0,Fwd_curves!H148))</f>
        <v>3.42582984507014</v>
      </c>
      <c r="C118" s="0" t="n">
        <f aca="false">IF($A118&lt;$B$5,0,IF($A118&gt;$B$6,0,Fwd_curves!J148))</f>
        <v>111.246851969752</v>
      </c>
      <c r="D118" s="0" t="n">
        <f aca="false">IF($A118&lt;$B$5,0,IF($A118&gt;$B$6,0,Fwd_curves!K148))</f>
        <v>141.654324841484</v>
      </c>
      <c r="E118" s="0" t="n">
        <f aca="false">IF($A118&lt;$B$5,0,IF($A118&gt;$B$6,0,Fwd_curves!L148))</f>
        <v>178.677606468526</v>
      </c>
      <c r="F118" s="0" t="n">
        <f aca="false">IF($A118&lt;$B$5,0,IF($A118&gt;$B$6,0,Fwd_curves!M148))</f>
        <v>151.508312992338</v>
      </c>
      <c r="G118" s="0" t="n">
        <f aca="false">IF($A118&lt;$B$5,0,IF($A118&gt;$B$6,0,Fwd_curves!N148))</f>
        <v>11.8329540707633</v>
      </c>
      <c r="H118" s="54" t="n">
        <f aca="false">IF($A118&lt;$B$5,0,IF($A118&gt;$B$6,0,Fwd_curves!O148))</f>
        <v>239.496001704839</v>
      </c>
      <c r="I118" s="54" t="n">
        <f aca="false">IF($A118&lt;$B$5,0,IF($A118&gt;$B$6,0,Fwd_curves!P148))</f>
        <v>168.108444387357</v>
      </c>
      <c r="J118" s="0" t="n">
        <f aca="false">IF($A118&lt;$B$5,0,IF($A118&gt;$B$6,0,Fwd_curves!Q148))</f>
        <v>4.82854842146853</v>
      </c>
      <c r="K118" s="0" t="n">
        <f aca="false">IF(B118=0,0,$B$9*B118)</f>
        <v>85.6457461267534</v>
      </c>
      <c r="L118" s="56" t="n">
        <f aca="false">external_curves!AB78</f>
        <v>21</v>
      </c>
      <c r="M118" s="56" t="n">
        <f aca="false">external_curves!AA78</f>
        <v>10</v>
      </c>
      <c r="N118" s="138" t="n">
        <f aca="false">(L118*16*$K118)</f>
        <v>28776.9706985891</v>
      </c>
      <c r="O118" s="138" t="n">
        <f aca="false">(L118*13*$K118)</f>
        <v>23381.2886926037</v>
      </c>
      <c r="P118" s="138" t="n">
        <f aca="false">(M118*24*$K118)</f>
        <v>20554.9790704208</v>
      </c>
      <c r="Q118" s="138" t="n">
        <f aca="false">((L118+M118)*K118)*24</f>
        <v>63720.4351183045</v>
      </c>
      <c r="R118" s="0" t="n">
        <f aca="false">L118*8*K118</f>
        <v>14388.4853492946</v>
      </c>
      <c r="T118" s="0" t="n">
        <f aca="false">IF(N118=0,0,$L118*16)*$B$9</f>
        <v>8400</v>
      </c>
      <c r="U118" s="0" t="n">
        <f aca="false">IF(O118=0,0,$L118*13)*$B$9</f>
        <v>6825</v>
      </c>
      <c r="V118" s="0" t="n">
        <f aca="false">IF(P118=0,0,$M118*24)*$B$9</f>
        <v>6000</v>
      </c>
      <c r="W118" s="0" t="n">
        <f aca="false">IF(Q118=0,0,($L118+$M118)*24)*$B$9</f>
        <v>18600</v>
      </c>
      <c r="X118" s="0" t="n">
        <f aca="false">IF(R118=0,0,$L118*8)*$B$9</f>
        <v>4200</v>
      </c>
    </row>
    <row r="119" customFormat="false" ht="12.75" hidden="false" customHeight="false" outlineLevel="0" collapsed="false">
      <c r="A119" s="61" t="n">
        <f aca="false">Fwd_curves!A149</f>
        <v>38565</v>
      </c>
      <c r="B119" s="0" t="n">
        <f aca="false">IF($A119&lt;$B$5,0,IF($A119&gt;$B$6,0,Fwd_curves!H149))</f>
        <v>3.40903123336407</v>
      </c>
      <c r="C119" s="0" t="n">
        <f aca="false">IF($A119&lt;$B$5,0,IF($A119&gt;$B$6,0,Fwd_curves!J149))</f>
        <v>110.701351243132</v>
      </c>
      <c r="D119" s="0" t="n">
        <f aca="false">IF($A119&lt;$B$5,0,IF($A119&gt;$B$6,0,Fwd_curves!K149))</f>
        <v>148.487412467454</v>
      </c>
      <c r="E119" s="0" t="n">
        <f aca="false">IF($A119&lt;$B$5,0,IF($A119&gt;$B$6,0,Fwd_curves!L149))</f>
        <v>177.115545619335</v>
      </c>
      <c r="F119" s="0" t="n">
        <f aca="false">IF($A119&lt;$B$5,0,IF($A119&gt;$B$6,0,Fwd_curves!M149))</f>
        <v>153.302624476348</v>
      </c>
      <c r="G119" s="0" t="n">
        <f aca="false">IF($A119&lt;$B$5,0,IF($A119&gt;$B$6,0,Fwd_curves!N149))</f>
        <v>11.7295063324063</v>
      </c>
      <c r="H119" s="54" t="n">
        <f aca="false">IF($A119&lt;$B$5,0,IF($A119&gt;$B$6,0,Fwd_curves!O149))</f>
        <v>302.929089306111</v>
      </c>
      <c r="I119" s="54" t="n">
        <f aca="false">IF($A119&lt;$B$5,0,IF($A119&gt;$B$6,0,Fwd_curves!P149))</f>
        <v>228.706739080056</v>
      </c>
      <c r="J119" s="0" t="n">
        <f aca="false">IF($A119&lt;$B$5,0,IF($A119&gt;$B$6,0,Fwd_curves!Q149))</f>
        <v>4.80077796047719</v>
      </c>
      <c r="K119" s="0" t="n">
        <f aca="false">IF(B119=0,0,$B$9*B119)</f>
        <v>85.2257808341017</v>
      </c>
      <c r="L119" s="56" t="n">
        <f aca="false">external_curves!AB79</f>
        <v>23</v>
      </c>
      <c r="M119" s="56" t="n">
        <f aca="false">external_curves!AA79</f>
        <v>8</v>
      </c>
      <c r="N119" s="138" t="n">
        <f aca="false">(L119*16*$K119)</f>
        <v>31363.0873469494</v>
      </c>
      <c r="O119" s="138" t="n">
        <f aca="false">(L119*13*$K119)</f>
        <v>25482.5084693964</v>
      </c>
      <c r="P119" s="138" t="n">
        <f aca="false">(M119*24*$K119)</f>
        <v>16363.3499201475</v>
      </c>
      <c r="Q119" s="138" t="n">
        <f aca="false">((L119+M119)*K119)*24</f>
        <v>63407.9809405716</v>
      </c>
      <c r="R119" s="0" t="n">
        <f aca="false">L119*8*K119</f>
        <v>15681.5436734747</v>
      </c>
      <c r="T119" s="0" t="n">
        <f aca="false">IF(N119=0,0,$L119*16)*$B$9</f>
        <v>9200</v>
      </c>
      <c r="U119" s="0" t="n">
        <f aca="false">IF(O119=0,0,$L119*13)*$B$9</f>
        <v>7475</v>
      </c>
      <c r="V119" s="0" t="n">
        <f aca="false">IF(P119=0,0,$M119*24)*$B$9</f>
        <v>4800</v>
      </c>
      <c r="W119" s="0" t="n">
        <f aca="false">IF(Q119=0,0,($L119+$M119)*24)*$B$9</f>
        <v>18600</v>
      </c>
      <c r="X119" s="0" t="n">
        <f aca="false">IF(R119=0,0,$L119*8)*$B$9</f>
        <v>4600</v>
      </c>
    </row>
    <row r="120" customFormat="false" ht="12.75" hidden="false" customHeight="false" outlineLevel="0" collapsed="false">
      <c r="A120" s="61" t="n">
        <f aca="false">Fwd_curves!A150</f>
        <v>38596</v>
      </c>
      <c r="B120" s="0" t="n">
        <f aca="false">IF($A120&lt;$B$5,0,IF($A120&gt;$B$6,0,Fwd_curves!H150))</f>
        <v>3.39230788795512</v>
      </c>
      <c r="C120" s="0" t="n">
        <f aca="false">IF($A120&lt;$B$5,0,IF($A120&gt;$B$6,0,Fwd_curves!J150))</f>
        <v>110.158294636329</v>
      </c>
      <c r="D120" s="0" t="n">
        <f aca="false">IF($A120&lt;$B$5,0,IF($A120&gt;$B$6,0,Fwd_curves!K150))</f>
        <v>147.758992538862</v>
      </c>
      <c r="E120" s="0" t="n">
        <f aca="false">IF($A120&lt;$B$5,0,IF($A120&gt;$B$6,0,Fwd_curves!L150))</f>
        <v>175.293500197164</v>
      </c>
      <c r="F120" s="0" t="n">
        <f aca="false">IF($A120&lt;$B$5,0,IF($A120&gt;$B$6,0,Fwd_curves!M150))</f>
        <v>152.029025684524</v>
      </c>
      <c r="G120" s="0" t="n">
        <f aca="false">IF($A120&lt;$B$5,0,IF($A120&gt;$B$6,0,Fwd_curves!N150))</f>
        <v>11.6088410726599</v>
      </c>
      <c r="H120" s="54" t="n">
        <f aca="false">IF($A120&lt;$B$5,0,IF($A120&gt;$B$6,0,Fwd_curves!O150))</f>
        <v>241.043834049772</v>
      </c>
      <c r="I120" s="54" t="n">
        <f aca="false">IF($A120&lt;$B$5,0,IF($A120&gt;$B$6,0,Fwd_curves!P150))</f>
        <v>183.872161199243</v>
      </c>
      <c r="J120" s="0" t="n">
        <f aca="false">IF($A120&lt;$B$5,0,IF($A120&gt;$B$6,0,Fwd_curves!Q150))</f>
        <v>4.77314522870835</v>
      </c>
      <c r="K120" s="0" t="n">
        <f aca="false">IF(B120=0,0,$B$9*B120)</f>
        <v>84.8076971988779</v>
      </c>
      <c r="L120" s="56" t="n">
        <f aca="false">external_curves!AB80</f>
        <v>22</v>
      </c>
      <c r="M120" s="56" t="n">
        <f aca="false">external_curves!AA80</f>
        <v>8</v>
      </c>
      <c r="N120" s="138" t="n">
        <f aca="false">(L120*16*$K120)</f>
        <v>29852.309414005</v>
      </c>
      <c r="O120" s="138" t="n">
        <f aca="false">(L120*13*$K120)</f>
        <v>24255.0013988791</v>
      </c>
      <c r="P120" s="138" t="n">
        <f aca="false">(M120*24*$K120)</f>
        <v>16283.0778621846</v>
      </c>
      <c r="Q120" s="138" t="n">
        <f aca="false">((L120+M120)*K120)*24</f>
        <v>61061.5419831921</v>
      </c>
      <c r="R120" s="0" t="n">
        <f aca="false">L120*8*K120</f>
        <v>14926.1547070025</v>
      </c>
      <c r="T120" s="0" t="n">
        <f aca="false">IF(N120=0,0,$L120*16)*$B$9</f>
        <v>8800</v>
      </c>
      <c r="U120" s="0" t="n">
        <f aca="false">IF(O120=0,0,$L120*13)*$B$9</f>
        <v>7150</v>
      </c>
      <c r="V120" s="0" t="n">
        <f aca="false">IF(P120=0,0,$M120*24)*$B$9</f>
        <v>4800</v>
      </c>
      <c r="W120" s="0" t="n">
        <f aca="false">IF(Q120=0,0,($L120+$M120)*24)*$B$9</f>
        <v>18000</v>
      </c>
      <c r="X120" s="0" t="n">
        <f aca="false">IF(R120=0,0,$L120*8)*$B$9</f>
        <v>4400</v>
      </c>
    </row>
    <row r="121" customFormat="false" ht="12.75" hidden="false" customHeight="false" outlineLevel="0" collapsed="false">
      <c r="A121" s="61" t="n">
        <f aca="false">Fwd_curves!A151</f>
        <v>38626</v>
      </c>
      <c r="B121" s="0" t="n">
        <f aca="false">IF($A121&lt;$B$5,0,IF($A121&gt;$B$6,0,Fwd_curves!H151))</f>
        <v>3.37619538701308</v>
      </c>
      <c r="C121" s="0" t="n">
        <f aca="false">IF($A121&lt;$B$5,0,IF($A121&gt;$B$6,0,Fwd_curves!J151))</f>
        <v>109.635073960398</v>
      </c>
      <c r="D121" s="0" t="n">
        <f aca="false">IF($A121&lt;$B$5,0,IF($A121&gt;$B$6,0,Fwd_curves!K151))</f>
        <v>146.180098613864</v>
      </c>
      <c r="E121" s="0" t="n">
        <f aca="false">IF($A121&lt;$B$5,0,IF($A121&gt;$B$6,0,Fwd_curves!L151))</f>
        <v>175.410622230673</v>
      </c>
      <c r="F121" s="0" t="n">
        <f aca="false">IF($A121&lt;$B$5,0,IF($A121&gt;$B$6,0,Fwd_curves!M151))</f>
        <v>151.128877906157</v>
      </c>
      <c r="G121" s="0" t="n">
        <f aca="false">IF($A121&lt;$B$5,0,IF($A121&gt;$B$6,0,Fwd_curves!N151))</f>
        <v>11.6165974987201</v>
      </c>
      <c r="H121" s="54" t="n">
        <f aca="false">IF($A121&lt;$B$5,0,IF($A121&gt;$B$6,0,Fwd_curves!O151))</f>
        <v>164.94207404341</v>
      </c>
      <c r="I121" s="54" t="n">
        <f aca="false">IF($A121&lt;$B$5,0,IF($A121&gt;$B$6,0,Fwd_curves!P151))</f>
        <v>140.035527394324</v>
      </c>
      <c r="J121" s="0" t="n">
        <f aca="false">IF($A121&lt;$B$5,0,IF($A121&gt;$B$6,0,Fwd_curves!Q151))</f>
        <v>4.74653450484633</v>
      </c>
      <c r="K121" s="0" t="n">
        <f aca="false">IF(B121=0,0,$B$9*B121)</f>
        <v>84.404884675327</v>
      </c>
      <c r="L121" s="56" t="n">
        <f aca="false">external_curves!AB81</f>
        <v>21</v>
      </c>
      <c r="M121" s="56" t="n">
        <f aca="false">external_curves!AA81</f>
        <v>10</v>
      </c>
      <c r="N121" s="138" t="n">
        <f aca="false">(L121*16*$K121)</f>
        <v>28360.0412509099</v>
      </c>
      <c r="O121" s="138" t="n">
        <f aca="false">(L121*13*$K121)</f>
        <v>23042.5335163643</v>
      </c>
      <c r="P121" s="138" t="n">
        <f aca="false">(M121*24*$K121)</f>
        <v>20257.1723220785</v>
      </c>
      <c r="Q121" s="138" t="n">
        <f aca="false">((L121+M121)*K121)*24</f>
        <v>62797.2341984433</v>
      </c>
      <c r="R121" s="0" t="n">
        <f aca="false">L121*8*K121</f>
        <v>14180.0206254549</v>
      </c>
      <c r="T121" s="0" t="n">
        <f aca="false">IF(N121=0,0,$L121*16)*$B$9</f>
        <v>8400</v>
      </c>
      <c r="U121" s="0" t="n">
        <f aca="false">IF(O121=0,0,$L121*13)*$B$9</f>
        <v>6825</v>
      </c>
      <c r="V121" s="0" t="n">
        <f aca="false">IF(P121=0,0,$M121*24)*$B$9</f>
        <v>6000</v>
      </c>
      <c r="W121" s="0" t="n">
        <f aca="false">IF(Q121=0,0,($L121+$M121)*24)*$B$9</f>
        <v>18600</v>
      </c>
      <c r="X121" s="0" t="n">
        <f aca="false">IF(R121=0,0,$L121*8)*$B$9</f>
        <v>4200</v>
      </c>
    </row>
    <row r="122" customFormat="false" ht="12.75" hidden="false" customHeight="false" outlineLevel="0" collapsed="false">
      <c r="A122" s="61" t="n">
        <f aca="false">Fwd_curves!A152</f>
        <v>38657</v>
      </c>
      <c r="B122" s="0" t="n">
        <f aca="false">IF($A122&lt;$B$5,0,IF($A122&gt;$B$6,0,Fwd_curves!H152))</f>
        <v>3.3596192735478</v>
      </c>
      <c r="C122" s="0" t="n">
        <f aca="false">IF($A122&lt;$B$5,0,IF($A122&gt;$B$6,0,Fwd_curves!J152))</f>
        <v>120.006478252451</v>
      </c>
      <c r="D122" s="0" t="n">
        <f aca="false">IF($A122&lt;$B$5,0,IF($A122&gt;$B$6,0,Fwd_curves!K152))</f>
        <v>145.462397881759</v>
      </c>
      <c r="E122" s="0" t="n">
        <f aca="false">IF($A122&lt;$B$5,0,IF($A122&gt;$B$6,0,Fwd_curves!L152))</f>
        <v>178.983014454223</v>
      </c>
      <c r="F122" s="0" t="n">
        <f aca="false">IF($A122&lt;$B$5,0,IF($A122&gt;$B$6,0,Fwd_curves!M152))</f>
        <v>155.627696741133</v>
      </c>
      <c r="G122" s="0" t="n">
        <f aca="false">IF($A122&lt;$B$5,0,IF($A122&gt;$B$6,0,Fwd_curves!N152))</f>
        <v>11.8531797651804</v>
      </c>
      <c r="H122" s="54" t="n">
        <f aca="false">IF($A122&lt;$B$5,0,IF($A122&gt;$B$6,0,Fwd_curves!O152))</f>
        <v>145.114514947386</v>
      </c>
      <c r="I122" s="54" t="n">
        <f aca="false">IF($A122&lt;$B$5,0,IF($A122&gt;$B$6,0,Fwd_curves!P152))</f>
        <v>124.802415497434</v>
      </c>
      <c r="J122" s="0" t="n">
        <f aca="false">IF($A122&lt;$B$5,0,IF($A122&gt;$B$6,0,Fwd_curves!Q152))</f>
        <v>4.71917121780117</v>
      </c>
      <c r="K122" s="0" t="n">
        <f aca="false">IF(B122=0,0,$B$9*B122)</f>
        <v>83.990481838695</v>
      </c>
      <c r="L122" s="56" t="n">
        <f aca="false">external_curves!AB82</f>
        <v>22</v>
      </c>
      <c r="M122" s="56" t="n">
        <f aca="false">external_curves!AA82</f>
        <v>8</v>
      </c>
      <c r="N122" s="138" t="n">
        <f aca="false">(L122*16*$K122)</f>
        <v>29564.6496072206</v>
      </c>
      <c r="O122" s="138" t="n">
        <f aca="false">(L122*13*$K122)</f>
        <v>24021.2778058668</v>
      </c>
      <c r="P122" s="138" t="n">
        <f aca="false">(M122*24*$K122)</f>
        <v>16126.1725130294</v>
      </c>
      <c r="Q122" s="138" t="n">
        <f aca="false">((L122+M122)*K122)*24</f>
        <v>60473.1469238604</v>
      </c>
      <c r="R122" s="0" t="n">
        <f aca="false">L122*8*K122</f>
        <v>14782.3248036103</v>
      </c>
      <c r="T122" s="0" t="n">
        <f aca="false">IF(N122=0,0,$L122*16)*$B$9</f>
        <v>8800</v>
      </c>
      <c r="U122" s="0" t="n">
        <f aca="false">IF(O122=0,0,$L122*13)*$B$9</f>
        <v>7150</v>
      </c>
      <c r="V122" s="0" t="n">
        <f aca="false">IF(P122=0,0,$M122*24)*$B$9</f>
        <v>4800</v>
      </c>
      <c r="W122" s="0" t="n">
        <f aca="false">IF(Q122=0,0,($L122+$M122)*24)*$B$9</f>
        <v>18000</v>
      </c>
      <c r="X122" s="0" t="n">
        <f aca="false">IF(R122=0,0,$L122*8)*$B$9</f>
        <v>4400</v>
      </c>
    </row>
    <row r="123" customFormat="false" ht="12.75" hidden="false" customHeight="false" outlineLevel="0" collapsed="false">
      <c r="A123" s="61" t="n">
        <f aca="false">Fwd_curves!A153</f>
        <v>38687</v>
      </c>
      <c r="B123" s="0" t="n">
        <f aca="false">IF($A123&lt;$B$5,0,IF($A123&gt;$B$6,0,Fwd_curves!H153))</f>
        <v>3.34364869730107</v>
      </c>
      <c r="C123" s="0" t="n">
        <f aca="false">IF($A123&lt;$B$5,0,IF($A123&gt;$B$6,0,Fwd_curves!J153))</f>
        <v>119.436005096126</v>
      </c>
      <c r="D123" s="0" t="n">
        <f aca="false">IF($A123&lt;$B$5,0,IF($A123&gt;$B$6,0,Fwd_curves!K153))</f>
        <v>144.770915268032</v>
      </c>
      <c r="E123" s="0" t="n">
        <f aca="false">IF($A123&lt;$B$5,0,IF($A123&gt;$B$6,0,Fwd_curves!L153))</f>
        <v>184.279793627701</v>
      </c>
      <c r="F123" s="0" t="n">
        <f aca="false">IF($A123&lt;$B$5,0,IF($A123&gt;$B$6,0,Fwd_curves!M153))</f>
        <v>157.4700832685</v>
      </c>
      <c r="G123" s="0" t="n">
        <f aca="false">IF($A123&lt;$B$5,0,IF($A123&gt;$B$6,0,Fwd_curves!N153))</f>
        <v>12.2039598428941</v>
      </c>
      <c r="H123" s="54" t="n">
        <f aca="false">IF($A123&lt;$B$5,0,IF($A123&gt;$B$6,0,Fwd_curves!O153))</f>
        <v>144.304222427684</v>
      </c>
      <c r="I123" s="54" t="n">
        <f aca="false">IF($A123&lt;$B$5,0,IF($A123&gt;$B$6,0,Fwd_curves!P153))</f>
        <v>119.906603214891</v>
      </c>
      <c r="J123" s="0" t="n">
        <f aca="false">IF($A123&lt;$B$5,0,IF($A123&gt;$B$6,0,Fwd_curves!Q153))</f>
        <v>4.6928202415507</v>
      </c>
      <c r="K123" s="0" t="n">
        <f aca="false">IF(B123=0,0,$B$9*B123)</f>
        <v>83.5912174325269</v>
      </c>
      <c r="L123" s="56" t="n">
        <f aca="false">external_curves!AB83</f>
        <v>22</v>
      </c>
      <c r="M123" s="56" t="n">
        <f aca="false">external_curves!AA83</f>
        <v>9</v>
      </c>
      <c r="N123" s="138" t="n">
        <f aca="false">(L123*16*$K123)</f>
        <v>29424.1085362495</v>
      </c>
      <c r="O123" s="138" t="n">
        <f aca="false">(L123*13*$K123)</f>
        <v>23907.0881857027</v>
      </c>
      <c r="P123" s="138" t="n">
        <f aca="false">(M123*24*$K123)</f>
        <v>18055.7029654258</v>
      </c>
      <c r="Q123" s="138" t="n">
        <f aca="false">((L123+M123)*K123)*24</f>
        <v>62191.8657698</v>
      </c>
      <c r="R123" s="0" t="n">
        <f aca="false">L123*8*K123</f>
        <v>14712.0542681247</v>
      </c>
      <c r="T123" s="0" t="n">
        <f aca="false">IF(N123=0,0,$L123*16)*$B$9</f>
        <v>8800</v>
      </c>
      <c r="U123" s="0" t="n">
        <f aca="false">IF(O123=0,0,$L123*13)*$B$9</f>
        <v>7150</v>
      </c>
      <c r="V123" s="0" t="n">
        <f aca="false">IF(P123=0,0,$M123*24)*$B$9</f>
        <v>5400</v>
      </c>
      <c r="W123" s="0" t="n">
        <f aca="false">IF(Q123=0,0,($L123+$M123)*24)*$B$9</f>
        <v>18600</v>
      </c>
      <c r="X123" s="0" t="n">
        <f aca="false">IF(R123=0,0,$L123*8)*$B$9</f>
        <v>4400</v>
      </c>
    </row>
    <row r="124" customFormat="false" ht="12.75" hidden="false" customHeight="false" outlineLevel="0" collapsed="false">
      <c r="A124" s="61" t="n">
        <f aca="false">Fwd_curves!A154</f>
        <v>38718</v>
      </c>
      <c r="B124" s="0" t="n">
        <f aca="false">IF($A124&lt;$B$5,0,IF($A124&gt;$B$6,0,Fwd_curves!H154))</f>
        <v>0</v>
      </c>
      <c r="C124" s="0" t="n">
        <f aca="false">IF($A124&lt;$B$5,0,IF($A124&gt;$B$6,0,Fwd_curves!J154))</f>
        <v>0</v>
      </c>
      <c r="D124" s="0" t="n">
        <f aca="false">IF($A124&lt;$B$5,0,IF($A124&gt;$B$6,0,Fwd_curves!K154))</f>
        <v>0</v>
      </c>
      <c r="E124" s="0" t="n">
        <f aca="false">IF($A124&lt;$B$5,0,IF($A124&gt;$B$6,0,Fwd_curves!L154))</f>
        <v>0</v>
      </c>
      <c r="F124" s="0" t="n">
        <f aca="false">IF($A124&lt;$B$5,0,IF($A124&gt;$B$6,0,Fwd_curves!M154))</f>
        <v>0</v>
      </c>
      <c r="G124" s="0" t="n">
        <f aca="false">IF($A124&lt;$B$5,0,IF($A124&gt;$B$6,0,Fwd_curves!N154))</f>
        <v>0</v>
      </c>
      <c r="H124" s="54" t="n">
        <f aca="false">IF($A124&lt;$B$5,0,IF($A124&gt;$B$6,0,Fwd_curves!O154))</f>
        <v>0</v>
      </c>
      <c r="I124" s="54" t="n">
        <f aca="false">IF($A124&lt;$B$5,0,IF($A124&gt;$B$6,0,Fwd_curves!P154))</f>
        <v>0</v>
      </c>
      <c r="J124" s="0" t="n">
        <f aca="false">IF($A124&lt;$B$5,0,IF($A124&gt;$B$6,0,Fwd_curves!Q154))</f>
        <v>0</v>
      </c>
      <c r="K124" s="0" t="n">
        <f aca="false">IF(B124=0,0,$B$9*B124)</f>
        <v>0</v>
      </c>
      <c r="L124" s="56" t="n">
        <f aca="false">external_curves!AB84</f>
        <v>21</v>
      </c>
      <c r="M124" s="56" t="n">
        <f aca="false">external_curves!AA84</f>
        <v>10</v>
      </c>
      <c r="N124" s="138" t="n">
        <f aca="false">(L124*16*$K124)</f>
        <v>0</v>
      </c>
      <c r="O124" s="138" t="n">
        <f aca="false">(L124*13*$K124)</f>
        <v>0</v>
      </c>
      <c r="P124" s="138" t="n">
        <f aca="false">(M124*24*$K124)</f>
        <v>0</v>
      </c>
      <c r="Q124" s="138" t="n">
        <f aca="false">((L124+M124)*K124)*24</f>
        <v>0</v>
      </c>
      <c r="R124" s="0" t="n">
        <f aca="false">L124*8*K124</f>
        <v>0</v>
      </c>
      <c r="T124" s="0" t="n">
        <f aca="false">IF(N124=0,0,$L124*16)*$B$9</f>
        <v>0</v>
      </c>
      <c r="U124" s="0" t="n">
        <f aca="false">IF(O124=0,0,$L124*13)*$B$9</f>
        <v>0</v>
      </c>
      <c r="V124" s="0" t="n">
        <f aca="false">IF(P124=0,0,$M124*24)*$B$9</f>
        <v>0</v>
      </c>
      <c r="W124" s="0" t="n">
        <f aca="false">IF(Q124=0,0,($L124+$M124)*24)*$B$9</f>
        <v>0</v>
      </c>
      <c r="X124" s="0" t="n">
        <f aca="false">IF(R124=0,0,$L124*8)*$B$9</f>
        <v>0</v>
      </c>
    </row>
    <row r="125" customFormat="false" ht="12.75" hidden="false" customHeight="false" outlineLevel="0" collapsed="false">
      <c r="A125" s="61" t="n">
        <f aca="false">Fwd_curves!A155</f>
        <v>38749</v>
      </c>
      <c r="B125" s="0" t="n">
        <f aca="false">IF($A125&lt;$B$5,0,IF($A125&gt;$B$6,0,Fwd_curves!H155))</f>
        <v>0</v>
      </c>
      <c r="C125" s="0" t="n">
        <f aca="false">IF($A125&lt;$B$5,0,IF($A125&gt;$B$6,0,Fwd_curves!J155))</f>
        <v>0</v>
      </c>
      <c r="D125" s="0" t="n">
        <f aca="false">IF($A125&lt;$B$5,0,IF($A125&gt;$B$6,0,Fwd_curves!K155))</f>
        <v>0</v>
      </c>
      <c r="E125" s="0" t="n">
        <f aca="false">IF($A125&lt;$B$5,0,IF($A125&gt;$B$6,0,Fwd_curves!L155))</f>
        <v>0</v>
      </c>
      <c r="F125" s="0" t="n">
        <f aca="false">IF($A125&lt;$B$5,0,IF($A125&gt;$B$6,0,Fwd_curves!M155))</f>
        <v>0</v>
      </c>
      <c r="G125" s="0" t="n">
        <f aca="false">IF($A125&lt;$B$5,0,IF($A125&gt;$B$6,0,Fwd_curves!N155))</f>
        <v>0</v>
      </c>
      <c r="H125" s="54" t="n">
        <f aca="false">IF($A125&lt;$B$5,0,IF($A125&gt;$B$6,0,Fwd_curves!O155))</f>
        <v>0</v>
      </c>
      <c r="I125" s="54" t="n">
        <f aca="false">IF($A125&lt;$B$5,0,IF($A125&gt;$B$6,0,Fwd_curves!P155))</f>
        <v>0</v>
      </c>
      <c r="J125" s="0" t="n">
        <f aca="false">IF($A125&lt;$B$5,0,IF($A125&gt;$B$6,0,Fwd_curves!Q155))</f>
        <v>0</v>
      </c>
      <c r="K125" s="0" t="n">
        <f aca="false">IF(B125=0,0,$B$9*B125)</f>
        <v>0</v>
      </c>
      <c r="L125" s="56" t="n">
        <f aca="false">external_curves!AB85</f>
        <v>20</v>
      </c>
      <c r="M125" s="56" t="n">
        <f aca="false">external_curves!AA85</f>
        <v>8</v>
      </c>
      <c r="N125" s="138" t="n">
        <f aca="false">(L125*16*$K125)</f>
        <v>0</v>
      </c>
      <c r="O125" s="138" t="n">
        <f aca="false">(L125*13*$K125)</f>
        <v>0</v>
      </c>
      <c r="P125" s="138" t="n">
        <f aca="false">(M125*24*$K125)</f>
        <v>0</v>
      </c>
      <c r="Q125" s="138" t="n">
        <f aca="false">((L125+M125)*K125)*24</f>
        <v>0</v>
      </c>
      <c r="R125" s="0" t="n">
        <f aca="false">L125*8*K125</f>
        <v>0</v>
      </c>
      <c r="T125" s="0" t="n">
        <f aca="false">IF(N125=0,0,$L125*16)*$B$9</f>
        <v>0</v>
      </c>
      <c r="U125" s="0" t="n">
        <f aca="false">IF(O125=0,0,$L125*13)*$B$9</f>
        <v>0</v>
      </c>
      <c r="V125" s="0" t="n">
        <f aca="false">IF(P125=0,0,$M125*24)*$B$9</f>
        <v>0</v>
      </c>
      <c r="W125" s="0" t="n">
        <f aca="false">IF(Q125=0,0,($L125+$M125)*24)*$B$9</f>
        <v>0</v>
      </c>
      <c r="X125" s="0" t="n">
        <f aca="false">IF(R125=0,0,$L125*8)*$B$9</f>
        <v>0</v>
      </c>
    </row>
    <row r="126" customFormat="false" ht="12.75" hidden="false" customHeight="false" outlineLevel="0" collapsed="false">
      <c r="A126" s="61" t="n">
        <f aca="false">Fwd_curves!A156</f>
        <v>38777</v>
      </c>
      <c r="B126" s="0" t="n">
        <f aca="false">IF($A126&lt;$B$5,0,IF($A126&gt;$B$6,0,Fwd_curves!H156))</f>
        <v>0</v>
      </c>
      <c r="C126" s="0" t="n">
        <f aca="false">IF($A126&lt;$B$5,0,IF($A126&gt;$B$6,0,Fwd_curves!J156))</f>
        <v>0</v>
      </c>
      <c r="D126" s="0" t="n">
        <f aca="false">IF($A126&lt;$B$5,0,IF($A126&gt;$B$6,0,Fwd_curves!K156))</f>
        <v>0</v>
      </c>
      <c r="E126" s="0" t="n">
        <f aca="false">IF($A126&lt;$B$5,0,IF($A126&gt;$B$6,0,Fwd_curves!L156))</f>
        <v>0</v>
      </c>
      <c r="F126" s="0" t="n">
        <f aca="false">IF($A126&lt;$B$5,0,IF($A126&gt;$B$6,0,Fwd_curves!M156))</f>
        <v>0</v>
      </c>
      <c r="G126" s="0" t="n">
        <f aca="false">IF($A126&lt;$B$5,0,IF($A126&gt;$B$6,0,Fwd_curves!N156))</f>
        <v>0</v>
      </c>
      <c r="H126" s="54" t="n">
        <f aca="false">IF($A126&lt;$B$5,0,IF($A126&gt;$B$6,0,Fwd_curves!O156))</f>
        <v>0</v>
      </c>
      <c r="I126" s="54" t="n">
        <f aca="false">IF($A126&lt;$B$5,0,IF($A126&gt;$B$6,0,Fwd_curves!P156))</f>
        <v>0</v>
      </c>
      <c r="J126" s="0" t="n">
        <f aca="false">IF($A126&lt;$B$5,0,IF($A126&gt;$B$6,0,Fwd_curves!Q156))</f>
        <v>0</v>
      </c>
      <c r="K126" s="0" t="n">
        <f aca="false">IF(B126=0,0,$B$9*B126)</f>
        <v>0</v>
      </c>
      <c r="L126" s="56" t="n">
        <f aca="false">external_curves!AB86</f>
        <v>23</v>
      </c>
      <c r="M126" s="56" t="n">
        <f aca="false">external_curves!AA86</f>
        <v>8</v>
      </c>
      <c r="N126" s="138" t="n">
        <f aca="false">(L126*16*$K126)</f>
        <v>0</v>
      </c>
      <c r="O126" s="138" t="n">
        <f aca="false">(L126*13*$K126)</f>
        <v>0</v>
      </c>
      <c r="P126" s="138" t="n">
        <f aca="false">(M126*24*$K126)</f>
        <v>0</v>
      </c>
      <c r="Q126" s="138" t="n">
        <f aca="false">((L126+M126)*K126)*24</f>
        <v>0</v>
      </c>
      <c r="R126" s="0" t="n">
        <f aca="false">L126*8*K126</f>
        <v>0</v>
      </c>
      <c r="T126" s="0" t="n">
        <f aca="false">IF(N126=0,0,$L126*16)*$B$9</f>
        <v>0</v>
      </c>
      <c r="U126" s="0" t="n">
        <f aca="false">IF(O126=0,0,$L126*13)*$B$9</f>
        <v>0</v>
      </c>
      <c r="V126" s="0" t="n">
        <f aca="false">IF(P126=0,0,$M126*24)*$B$9</f>
        <v>0</v>
      </c>
      <c r="W126" s="0" t="n">
        <f aca="false">IF(Q126=0,0,($L126+$M126)*24)*$B$9</f>
        <v>0</v>
      </c>
      <c r="X126" s="0" t="n">
        <f aca="false">IF(R126=0,0,$L126*8)*$B$9</f>
        <v>0</v>
      </c>
    </row>
    <row r="127" customFormat="false" ht="12.75" hidden="false" customHeight="false" outlineLevel="0" collapsed="false">
      <c r="A127" s="61" t="n">
        <f aca="false">Fwd_curves!A157</f>
        <v>38808</v>
      </c>
      <c r="B127" s="0" t="n">
        <f aca="false">IF($A127&lt;$B$5,0,IF($A127&gt;$B$6,0,Fwd_curves!H157))</f>
        <v>0</v>
      </c>
      <c r="C127" s="0" t="n">
        <f aca="false">IF($A127&lt;$B$5,0,IF($A127&gt;$B$6,0,Fwd_curves!J157))</f>
        <v>0</v>
      </c>
      <c r="D127" s="0" t="n">
        <f aca="false">IF($A127&lt;$B$5,0,IF($A127&gt;$B$6,0,Fwd_curves!K157))</f>
        <v>0</v>
      </c>
      <c r="E127" s="0" t="n">
        <f aca="false">IF($A127&lt;$B$5,0,IF($A127&gt;$B$6,0,Fwd_curves!L157))</f>
        <v>0</v>
      </c>
      <c r="F127" s="0" t="n">
        <f aca="false">IF($A127&lt;$B$5,0,IF($A127&gt;$B$6,0,Fwd_curves!M157))</f>
        <v>0</v>
      </c>
      <c r="G127" s="0" t="n">
        <f aca="false">IF($A127&lt;$B$5,0,IF($A127&gt;$B$6,0,Fwd_curves!N157))</f>
        <v>0</v>
      </c>
      <c r="H127" s="54" t="n">
        <f aca="false">IF($A127&lt;$B$5,0,IF($A127&gt;$B$6,0,Fwd_curves!O157))</f>
        <v>0</v>
      </c>
      <c r="I127" s="54" t="n">
        <f aca="false">IF($A127&lt;$B$5,0,IF($A127&gt;$B$6,0,Fwd_curves!P157))</f>
        <v>0</v>
      </c>
      <c r="J127" s="0" t="n">
        <f aca="false">IF($A127&lt;$B$5,0,IF($A127&gt;$B$6,0,Fwd_curves!Q157))</f>
        <v>0</v>
      </c>
      <c r="K127" s="0" t="n">
        <f aca="false">IF(B127=0,0,$B$9*B127)</f>
        <v>0</v>
      </c>
      <c r="L127" s="56" t="n">
        <f aca="false">external_curves!AB87</f>
        <v>21</v>
      </c>
      <c r="M127" s="56" t="n">
        <f aca="false">external_curves!AA87</f>
        <v>9</v>
      </c>
      <c r="N127" s="138" t="n">
        <f aca="false">(L127*16*$K127)</f>
        <v>0</v>
      </c>
      <c r="O127" s="138" t="n">
        <f aca="false">(L127*13*$K127)</f>
        <v>0</v>
      </c>
      <c r="P127" s="138" t="n">
        <f aca="false">(M127*24*$K127)</f>
        <v>0</v>
      </c>
      <c r="Q127" s="138" t="n">
        <f aca="false">((L127+M127)*K127)*24</f>
        <v>0</v>
      </c>
      <c r="R127" s="0" t="n">
        <f aca="false">L127*8*K127</f>
        <v>0</v>
      </c>
      <c r="T127" s="0" t="n">
        <f aca="false">IF(N127=0,0,$L127*16)*$B$9</f>
        <v>0</v>
      </c>
      <c r="U127" s="0" t="n">
        <f aca="false">IF(O127=0,0,$L127*13)*$B$9</f>
        <v>0</v>
      </c>
      <c r="V127" s="0" t="n">
        <f aca="false">IF(P127=0,0,$M127*24)*$B$9</f>
        <v>0</v>
      </c>
      <c r="W127" s="0" t="n">
        <f aca="false">IF(Q127=0,0,($L127+$M127)*24)*$B$9</f>
        <v>0</v>
      </c>
      <c r="X127" s="0" t="n">
        <f aca="false">IF(R127=0,0,$L127*8)*$B$9</f>
        <v>0</v>
      </c>
    </row>
    <row r="128" customFormat="false" ht="12.75" hidden="false" customHeight="false" outlineLevel="0" collapsed="false">
      <c r="A128" s="61" t="n">
        <f aca="false">Fwd_curves!A158</f>
        <v>38838</v>
      </c>
      <c r="B128" s="0" t="n">
        <f aca="false">IF($A128&lt;$B$5,0,IF($A128&gt;$B$6,0,Fwd_curves!H158))</f>
        <v>0</v>
      </c>
      <c r="C128" s="0" t="n">
        <f aca="false">IF($A128&lt;$B$5,0,IF($A128&gt;$B$6,0,Fwd_curves!J158))</f>
        <v>0</v>
      </c>
      <c r="D128" s="0" t="n">
        <f aca="false">IF($A128&lt;$B$5,0,IF($A128&gt;$B$6,0,Fwd_curves!K158))</f>
        <v>0</v>
      </c>
      <c r="E128" s="0" t="n">
        <f aca="false">IF($A128&lt;$B$5,0,IF($A128&gt;$B$6,0,Fwd_curves!L158))</f>
        <v>0</v>
      </c>
      <c r="F128" s="0" t="n">
        <f aca="false">IF($A128&lt;$B$5,0,IF($A128&gt;$B$6,0,Fwd_curves!M158))</f>
        <v>0</v>
      </c>
      <c r="G128" s="0" t="n">
        <f aca="false">IF($A128&lt;$B$5,0,IF($A128&gt;$B$6,0,Fwd_curves!N158))</f>
        <v>0</v>
      </c>
      <c r="H128" s="54" t="n">
        <f aca="false">IF($A128&lt;$B$5,0,IF($A128&gt;$B$6,0,Fwd_curves!O158))</f>
        <v>0</v>
      </c>
      <c r="I128" s="54" t="n">
        <f aca="false">IF($A128&lt;$B$5,0,IF($A128&gt;$B$6,0,Fwd_curves!P158))</f>
        <v>0</v>
      </c>
      <c r="J128" s="0" t="n">
        <f aca="false">IF($A128&lt;$B$5,0,IF($A128&gt;$B$6,0,Fwd_curves!Q158))</f>
        <v>0</v>
      </c>
      <c r="K128" s="0" t="n">
        <f aca="false">IF(B128=0,0,$B$9*B128)</f>
        <v>0</v>
      </c>
      <c r="L128" s="56" t="n">
        <f aca="false">external_curves!AB88</f>
        <v>22</v>
      </c>
      <c r="M128" s="56" t="n">
        <f aca="false">external_curves!AA88</f>
        <v>9</v>
      </c>
      <c r="N128" s="138" t="n">
        <f aca="false">(L128*16*$K128)</f>
        <v>0</v>
      </c>
      <c r="O128" s="138" t="n">
        <f aca="false">(L128*13*$K128)</f>
        <v>0</v>
      </c>
      <c r="P128" s="138" t="n">
        <f aca="false">(M128*24*$K128)</f>
        <v>0</v>
      </c>
      <c r="Q128" s="138" t="n">
        <f aca="false">((L128+M128)*K128)*24</f>
        <v>0</v>
      </c>
      <c r="R128" s="0" t="n">
        <f aca="false">L128*8*K128</f>
        <v>0</v>
      </c>
      <c r="T128" s="0" t="n">
        <f aca="false">IF(N128=0,0,$L128*16)*$B$9</f>
        <v>0</v>
      </c>
      <c r="U128" s="0" t="n">
        <f aca="false">IF(O128=0,0,$L128*13)*$B$9</f>
        <v>0</v>
      </c>
      <c r="V128" s="0" t="n">
        <f aca="false">IF(P128=0,0,$M128*24)*$B$9</f>
        <v>0</v>
      </c>
      <c r="W128" s="0" t="n">
        <f aca="false">IF(Q128=0,0,($L128+$M128)*24)*$B$9</f>
        <v>0</v>
      </c>
      <c r="X128" s="0" t="n">
        <f aca="false">IF(R128=0,0,$L128*8)*$B$9</f>
        <v>0</v>
      </c>
    </row>
    <row r="129" customFormat="false" ht="12.75" hidden="false" customHeight="false" outlineLevel="0" collapsed="false">
      <c r="A129" s="61" t="n">
        <f aca="false">Fwd_curves!A159</f>
        <v>38869</v>
      </c>
      <c r="B129" s="0" t="n">
        <f aca="false">IF($A129&lt;$B$5,0,IF($A129&gt;$B$6,0,Fwd_curves!H159))</f>
        <v>0</v>
      </c>
      <c r="C129" s="0" t="n">
        <f aca="false">IF($A129&lt;$B$5,0,IF($A129&gt;$B$6,0,Fwd_curves!J159))</f>
        <v>0</v>
      </c>
      <c r="D129" s="0" t="n">
        <f aca="false">IF($A129&lt;$B$5,0,IF($A129&gt;$B$6,0,Fwd_curves!K159))</f>
        <v>0</v>
      </c>
      <c r="E129" s="0" t="n">
        <f aca="false">IF($A129&lt;$B$5,0,IF($A129&gt;$B$6,0,Fwd_curves!L159))</f>
        <v>0</v>
      </c>
      <c r="F129" s="0" t="n">
        <f aca="false">IF($A129&lt;$B$5,0,IF($A129&gt;$B$6,0,Fwd_curves!M159))</f>
        <v>0</v>
      </c>
      <c r="G129" s="0" t="n">
        <f aca="false">IF($A129&lt;$B$5,0,IF($A129&gt;$B$6,0,Fwd_curves!N159))</f>
        <v>0</v>
      </c>
      <c r="H129" s="54" t="n">
        <f aca="false">IF($A129&lt;$B$5,0,IF($A129&gt;$B$6,0,Fwd_curves!O159))</f>
        <v>0</v>
      </c>
      <c r="I129" s="54" t="n">
        <f aca="false">IF($A129&lt;$B$5,0,IF($A129&gt;$B$6,0,Fwd_curves!P159))</f>
        <v>0</v>
      </c>
      <c r="J129" s="0" t="n">
        <f aca="false">IF($A129&lt;$B$5,0,IF($A129&gt;$B$6,0,Fwd_curves!Q159))</f>
        <v>0</v>
      </c>
      <c r="K129" s="0" t="n">
        <f aca="false">IF(B129=0,0,$B$9*B129)</f>
        <v>0</v>
      </c>
      <c r="L129" s="56" t="n">
        <f aca="false">external_curves!AB89</f>
        <v>22</v>
      </c>
      <c r="M129" s="56" t="n">
        <f aca="false">external_curves!AA89</f>
        <v>8</v>
      </c>
      <c r="N129" s="138" t="n">
        <f aca="false">(L129*16*$K129)</f>
        <v>0</v>
      </c>
      <c r="O129" s="138" t="n">
        <f aca="false">(L129*13*$K129)</f>
        <v>0</v>
      </c>
      <c r="P129" s="138" t="n">
        <f aca="false">(M129*24*$K129)</f>
        <v>0</v>
      </c>
      <c r="Q129" s="138" t="n">
        <f aca="false">((L129+M129)*K129)*24</f>
        <v>0</v>
      </c>
      <c r="R129" s="0" t="n">
        <f aca="false">L129*8*K129</f>
        <v>0</v>
      </c>
      <c r="T129" s="0" t="n">
        <f aca="false">IF(N129=0,0,$L129*16)*$B$9</f>
        <v>0</v>
      </c>
      <c r="U129" s="0" t="n">
        <f aca="false">IF(O129=0,0,$L129*13)*$B$9</f>
        <v>0</v>
      </c>
      <c r="V129" s="0" t="n">
        <f aca="false">IF(P129=0,0,$M129*24)*$B$9</f>
        <v>0</v>
      </c>
      <c r="W129" s="0" t="n">
        <f aca="false">IF(Q129=0,0,($L129+$M129)*24)*$B$9</f>
        <v>0</v>
      </c>
      <c r="X129" s="0" t="n">
        <f aca="false">IF(R129=0,0,$L129*8)*$B$9</f>
        <v>0</v>
      </c>
    </row>
    <row r="130" customFormat="false" ht="12.75" hidden="false" customHeight="false" outlineLevel="0" collapsed="false">
      <c r="A130" s="61" t="n">
        <f aca="false">Fwd_curves!A160</f>
        <v>38899</v>
      </c>
      <c r="B130" s="0" t="n">
        <f aca="false">IF($A130&lt;$B$5,0,IF($A130&gt;$B$6,0,Fwd_curves!H160))</f>
        <v>0</v>
      </c>
      <c r="C130" s="0" t="n">
        <f aca="false">IF($A130&lt;$B$5,0,IF($A130&gt;$B$6,0,Fwd_curves!J160))</f>
        <v>0</v>
      </c>
      <c r="D130" s="0" t="n">
        <f aca="false">IF($A130&lt;$B$5,0,IF($A130&gt;$B$6,0,Fwd_curves!K160))</f>
        <v>0</v>
      </c>
      <c r="E130" s="0" t="n">
        <f aca="false">IF($A130&lt;$B$5,0,IF($A130&gt;$B$6,0,Fwd_curves!L160))</f>
        <v>0</v>
      </c>
      <c r="F130" s="0" t="n">
        <f aca="false">IF($A130&lt;$B$5,0,IF($A130&gt;$B$6,0,Fwd_curves!M160))</f>
        <v>0</v>
      </c>
      <c r="G130" s="0" t="n">
        <f aca="false">IF($A130&lt;$B$5,0,IF($A130&gt;$B$6,0,Fwd_curves!N160))</f>
        <v>0</v>
      </c>
      <c r="H130" s="54" t="n">
        <f aca="false">IF($A130&lt;$B$5,0,IF($A130&gt;$B$6,0,Fwd_curves!O160))</f>
        <v>0</v>
      </c>
      <c r="I130" s="54" t="n">
        <f aca="false">IF($A130&lt;$B$5,0,IF($A130&gt;$B$6,0,Fwd_curves!P160))</f>
        <v>0</v>
      </c>
      <c r="J130" s="0" t="n">
        <f aca="false">IF($A130&lt;$B$5,0,IF($A130&gt;$B$6,0,Fwd_curves!Q160))</f>
        <v>0</v>
      </c>
      <c r="K130" s="0" t="n">
        <f aca="false">IF(B130=0,0,$B$9*B130)</f>
        <v>0</v>
      </c>
      <c r="L130" s="56" t="n">
        <f aca="false">external_curves!AB90</f>
        <v>21</v>
      </c>
      <c r="M130" s="56" t="n">
        <f aca="false">external_curves!AA90</f>
        <v>10</v>
      </c>
      <c r="N130" s="138" t="n">
        <f aca="false">(L130*16*$K130)</f>
        <v>0</v>
      </c>
      <c r="O130" s="138" t="n">
        <f aca="false">(L130*13*$K130)</f>
        <v>0</v>
      </c>
      <c r="P130" s="138" t="n">
        <f aca="false">(M130*24*$K130)</f>
        <v>0</v>
      </c>
      <c r="Q130" s="138" t="n">
        <f aca="false">((L130+M130)*K130)*24</f>
        <v>0</v>
      </c>
      <c r="R130" s="0" t="n">
        <f aca="false">L130*8*K130</f>
        <v>0</v>
      </c>
      <c r="T130" s="0" t="n">
        <f aca="false">IF(N130=0,0,$L130*16)*$B$9</f>
        <v>0</v>
      </c>
      <c r="U130" s="0" t="n">
        <f aca="false">IF(O130=0,0,$L130*13)*$B$9</f>
        <v>0</v>
      </c>
      <c r="V130" s="0" t="n">
        <f aca="false">IF(P130=0,0,$M130*24)*$B$9</f>
        <v>0</v>
      </c>
      <c r="W130" s="0" t="n">
        <f aca="false">IF(Q130=0,0,($L130+$M130)*24)*$B$9</f>
        <v>0</v>
      </c>
      <c r="X130" s="0" t="n">
        <f aca="false">IF(R130=0,0,$L130*8)*$B$9</f>
        <v>0</v>
      </c>
    </row>
    <row r="131" customFormat="false" ht="12.75" hidden="false" customHeight="false" outlineLevel="0" collapsed="false">
      <c r="A131" s="61" t="n">
        <f aca="false">Fwd_curves!A161</f>
        <v>38930</v>
      </c>
      <c r="B131" s="0" t="n">
        <f aca="false">IF($A131&lt;$B$5,0,IF($A131&gt;$B$6,0,Fwd_curves!H161))</f>
        <v>0</v>
      </c>
      <c r="C131" s="0" t="n">
        <f aca="false">IF($A131&lt;$B$5,0,IF($A131&gt;$B$6,0,Fwd_curves!J161))</f>
        <v>0</v>
      </c>
      <c r="D131" s="0" t="n">
        <f aca="false">IF($A131&lt;$B$5,0,IF($A131&gt;$B$6,0,Fwd_curves!K161))</f>
        <v>0</v>
      </c>
      <c r="E131" s="0" t="n">
        <f aca="false">IF($A131&lt;$B$5,0,IF($A131&gt;$B$6,0,Fwd_curves!L161))</f>
        <v>0</v>
      </c>
      <c r="F131" s="0" t="n">
        <f aca="false">IF($A131&lt;$B$5,0,IF($A131&gt;$B$6,0,Fwd_curves!M161))</f>
        <v>0</v>
      </c>
      <c r="G131" s="0" t="n">
        <f aca="false">IF($A131&lt;$B$5,0,IF($A131&gt;$B$6,0,Fwd_curves!N161))</f>
        <v>0</v>
      </c>
      <c r="H131" s="54" t="n">
        <f aca="false">IF($A131&lt;$B$5,0,IF($A131&gt;$B$6,0,Fwd_curves!O161))</f>
        <v>0</v>
      </c>
      <c r="I131" s="54" t="n">
        <f aca="false">IF($A131&lt;$B$5,0,IF($A131&gt;$B$6,0,Fwd_curves!P161))</f>
        <v>0</v>
      </c>
      <c r="J131" s="0" t="n">
        <f aca="false">IF($A131&lt;$B$5,0,IF($A131&gt;$B$6,0,Fwd_curves!Q161))</f>
        <v>0</v>
      </c>
      <c r="K131" s="0" t="n">
        <f aca="false">IF(B131=0,0,$B$9*B131)</f>
        <v>0</v>
      </c>
      <c r="L131" s="56" t="n">
        <f aca="false">external_curves!AB91</f>
        <v>23</v>
      </c>
      <c r="M131" s="56" t="n">
        <f aca="false">external_curves!AA91</f>
        <v>8</v>
      </c>
      <c r="N131" s="138" t="n">
        <f aca="false">(L131*16*$K131)</f>
        <v>0</v>
      </c>
      <c r="O131" s="138" t="n">
        <f aca="false">(L131*13*$K131)</f>
        <v>0</v>
      </c>
      <c r="P131" s="138" t="n">
        <f aca="false">(M131*24*$K131)</f>
        <v>0</v>
      </c>
      <c r="Q131" s="138" t="n">
        <f aca="false">((L131+M131)*K131)*24</f>
        <v>0</v>
      </c>
      <c r="R131" s="0" t="n">
        <f aca="false">L131*8*K131</f>
        <v>0</v>
      </c>
      <c r="T131" s="0" t="n">
        <f aca="false">IF(N131=0,0,$L131*16)*$B$9</f>
        <v>0</v>
      </c>
      <c r="U131" s="0" t="n">
        <f aca="false">IF(O131=0,0,$L131*13)*$B$9</f>
        <v>0</v>
      </c>
      <c r="V131" s="0" t="n">
        <f aca="false">IF(P131=0,0,$M131*24)*$B$9</f>
        <v>0</v>
      </c>
      <c r="W131" s="0" t="n">
        <f aca="false">IF(Q131=0,0,($L131+$M131)*24)*$B$9</f>
        <v>0</v>
      </c>
      <c r="X131" s="0" t="n">
        <f aca="false">IF(R131=0,0,$L131*8)*$B$9</f>
        <v>0</v>
      </c>
    </row>
    <row r="132" customFormat="false" ht="12.75" hidden="false" customHeight="false" outlineLevel="0" collapsed="false">
      <c r="A132" s="61" t="n">
        <f aca="false">Fwd_curves!A162</f>
        <v>38961</v>
      </c>
      <c r="B132" s="0" t="n">
        <f aca="false">IF($A132&lt;$B$5,0,IF($A132&gt;$B$6,0,Fwd_curves!H162))</f>
        <v>0</v>
      </c>
      <c r="C132" s="0" t="n">
        <f aca="false">IF($A132&lt;$B$5,0,IF($A132&gt;$B$6,0,Fwd_curves!J162))</f>
        <v>0</v>
      </c>
      <c r="D132" s="0" t="n">
        <f aca="false">IF($A132&lt;$B$5,0,IF($A132&gt;$B$6,0,Fwd_curves!K162))</f>
        <v>0</v>
      </c>
      <c r="E132" s="0" t="n">
        <f aca="false">IF($A132&lt;$B$5,0,IF($A132&gt;$B$6,0,Fwd_curves!L162))</f>
        <v>0</v>
      </c>
      <c r="F132" s="0" t="n">
        <f aca="false">IF($A132&lt;$B$5,0,IF($A132&gt;$B$6,0,Fwd_curves!M162))</f>
        <v>0</v>
      </c>
      <c r="G132" s="0" t="n">
        <f aca="false">IF($A132&lt;$B$5,0,IF($A132&gt;$B$6,0,Fwd_curves!N162))</f>
        <v>0</v>
      </c>
      <c r="H132" s="54" t="n">
        <f aca="false">IF($A132&lt;$B$5,0,IF($A132&gt;$B$6,0,Fwd_curves!O162))</f>
        <v>0</v>
      </c>
      <c r="I132" s="54" t="n">
        <f aca="false">IF($A132&lt;$B$5,0,IF($A132&gt;$B$6,0,Fwd_curves!P162))</f>
        <v>0</v>
      </c>
      <c r="J132" s="0" t="n">
        <f aca="false">IF($A132&lt;$B$5,0,IF($A132&gt;$B$6,0,Fwd_curves!Q162))</f>
        <v>0</v>
      </c>
      <c r="K132" s="0" t="n">
        <f aca="false">IF(B132=0,0,$B$9*B132)</f>
        <v>0</v>
      </c>
      <c r="L132" s="56" t="n">
        <f aca="false">external_curves!AB92</f>
        <v>22</v>
      </c>
      <c r="M132" s="56" t="n">
        <f aca="false">external_curves!AA92</f>
        <v>8</v>
      </c>
      <c r="N132" s="138" t="n">
        <f aca="false">(L132*16*$K132)</f>
        <v>0</v>
      </c>
      <c r="O132" s="138" t="n">
        <f aca="false">(L132*13*$K132)</f>
        <v>0</v>
      </c>
      <c r="P132" s="138" t="n">
        <f aca="false">(M132*24*$K132)</f>
        <v>0</v>
      </c>
      <c r="Q132" s="138" t="n">
        <f aca="false">((L132+M132)*K132)*24</f>
        <v>0</v>
      </c>
      <c r="R132" s="0" t="n">
        <f aca="false">L132*8*K132</f>
        <v>0</v>
      </c>
      <c r="T132" s="0" t="n">
        <f aca="false">IF(N132=0,0,$L132*16)*$B$9</f>
        <v>0</v>
      </c>
      <c r="U132" s="0" t="n">
        <f aca="false">IF(O132=0,0,$L132*13)*$B$9</f>
        <v>0</v>
      </c>
      <c r="V132" s="0" t="n">
        <f aca="false">IF(P132=0,0,$M132*24)*$B$9</f>
        <v>0</v>
      </c>
      <c r="W132" s="0" t="n">
        <f aca="false">IF(Q132=0,0,($L132+$M132)*24)*$B$9</f>
        <v>0</v>
      </c>
      <c r="X132" s="0" t="n">
        <f aca="false">IF(R132=0,0,$L132*8)*$B$9</f>
        <v>0</v>
      </c>
    </row>
    <row r="133" customFormat="false" ht="12.75" hidden="false" customHeight="false" outlineLevel="0" collapsed="false">
      <c r="A133" s="61" t="n">
        <f aca="false">Fwd_curves!A163</f>
        <v>38991</v>
      </c>
      <c r="B133" s="0" t="n">
        <f aca="false">IF($A133&lt;$B$5,0,IF($A133&gt;$B$6,0,Fwd_curves!H163))</f>
        <v>0</v>
      </c>
      <c r="C133" s="0" t="n">
        <f aca="false">IF($A133&lt;$B$5,0,IF($A133&gt;$B$6,0,Fwd_curves!J163))</f>
        <v>0</v>
      </c>
      <c r="D133" s="0" t="n">
        <f aca="false">IF($A133&lt;$B$5,0,IF($A133&gt;$B$6,0,Fwd_curves!K163))</f>
        <v>0</v>
      </c>
      <c r="E133" s="0" t="n">
        <f aca="false">IF($A133&lt;$B$5,0,IF($A133&gt;$B$6,0,Fwd_curves!L163))</f>
        <v>0</v>
      </c>
      <c r="F133" s="0" t="n">
        <f aca="false">IF($A133&lt;$B$5,0,IF($A133&gt;$B$6,0,Fwd_curves!M163))</f>
        <v>0</v>
      </c>
      <c r="G133" s="0" t="n">
        <f aca="false">IF($A133&lt;$B$5,0,IF($A133&gt;$B$6,0,Fwd_curves!N163))</f>
        <v>0</v>
      </c>
      <c r="H133" s="54" t="n">
        <f aca="false">IF($A133&lt;$B$5,0,IF($A133&gt;$B$6,0,Fwd_curves!O163))</f>
        <v>0</v>
      </c>
      <c r="I133" s="54" t="n">
        <f aca="false">IF($A133&lt;$B$5,0,IF($A133&gt;$B$6,0,Fwd_curves!P163))</f>
        <v>0</v>
      </c>
      <c r="J133" s="0" t="n">
        <f aca="false">IF($A133&lt;$B$5,0,IF($A133&gt;$B$6,0,Fwd_curves!Q163))</f>
        <v>0</v>
      </c>
      <c r="K133" s="0" t="n">
        <f aca="false">IF(B133=0,0,$B$9*B133)</f>
        <v>0</v>
      </c>
      <c r="L133" s="56" t="n">
        <f aca="false">external_curves!AB93</f>
        <v>21</v>
      </c>
      <c r="M133" s="56" t="n">
        <f aca="false">external_curves!AA93</f>
        <v>10</v>
      </c>
      <c r="N133" s="138" t="n">
        <f aca="false">(L133*16*$K133)</f>
        <v>0</v>
      </c>
      <c r="O133" s="138" t="n">
        <f aca="false">(L133*13*$K133)</f>
        <v>0</v>
      </c>
      <c r="P133" s="138" t="n">
        <f aca="false">(M133*24*$K133)</f>
        <v>0</v>
      </c>
      <c r="Q133" s="138" t="n">
        <f aca="false">((L133+M133)*K133)*24</f>
        <v>0</v>
      </c>
      <c r="R133" s="0" t="n">
        <f aca="false">L133*8*K133</f>
        <v>0</v>
      </c>
      <c r="T133" s="0" t="n">
        <f aca="false">IF(N133=0,0,$L133*16)*$B$9</f>
        <v>0</v>
      </c>
      <c r="U133" s="0" t="n">
        <f aca="false">IF(O133=0,0,$L133*13)*$B$9</f>
        <v>0</v>
      </c>
      <c r="V133" s="0" t="n">
        <f aca="false">IF(P133=0,0,$M133*24)*$B$9</f>
        <v>0</v>
      </c>
      <c r="W133" s="0" t="n">
        <f aca="false">IF(Q133=0,0,($L133+$M133)*24)*$B$9</f>
        <v>0</v>
      </c>
      <c r="X133" s="0" t="n">
        <f aca="false">IF(R133=0,0,$L133*8)*$B$9</f>
        <v>0</v>
      </c>
    </row>
    <row r="134" customFormat="false" ht="12.75" hidden="false" customHeight="false" outlineLevel="0" collapsed="false">
      <c r="A134" s="61" t="n">
        <f aca="false">Fwd_curves!A164</f>
        <v>39022</v>
      </c>
      <c r="B134" s="0" t="n">
        <f aca="false">IF($A134&lt;$B$5,0,IF($A134&gt;$B$6,0,Fwd_curves!H164))</f>
        <v>0</v>
      </c>
      <c r="C134" s="0" t="n">
        <f aca="false">IF($A134&lt;$B$5,0,IF($A134&gt;$B$6,0,Fwd_curves!J164))</f>
        <v>0</v>
      </c>
      <c r="D134" s="0" t="n">
        <f aca="false">IF($A134&lt;$B$5,0,IF($A134&gt;$B$6,0,Fwd_curves!K164))</f>
        <v>0</v>
      </c>
      <c r="E134" s="0" t="n">
        <f aca="false">IF($A134&lt;$B$5,0,IF($A134&gt;$B$6,0,Fwd_curves!L164))</f>
        <v>0</v>
      </c>
      <c r="F134" s="0" t="n">
        <f aca="false">IF($A134&lt;$B$5,0,IF($A134&gt;$B$6,0,Fwd_curves!M164))</f>
        <v>0</v>
      </c>
      <c r="G134" s="0" t="n">
        <f aca="false">IF($A134&lt;$B$5,0,IF($A134&gt;$B$6,0,Fwd_curves!N164))</f>
        <v>0</v>
      </c>
      <c r="H134" s="54" t="n">
        <f aca="false">IF($A134&lt;$B$5,0,IF($A134&gt;$B$6,0,Fwd_curves!O164))</f>
        <v>0</v>
      </c>
      <c r="I134" s="54" t="n">
        <f aca="false">IF($A134&lt;$B$5,0,IF($A134&gt;$B$6,0,Fwd_curves!P164))</f>
        <v>0</v>
      </c>
      <c r="J134" s="0" t="n">
        <f aca="false">IF($A134&lt;$B$5,0,IF($A134&gt;$B$6,0,Fwd_curves!Q164))</f>
        <v>0</v>
      </c>
      <c r="K134" s="0" t="n">
        <f aca="false">IF(B134=0,0,$B$9*B134)</f>
        <v>0</v>
      </c>
      <c r="L134" s="56" t="n">
        <f aca="false">external_curves!AB94</f>
        <v>22</v>
      </c>
      <c r="M134" s="56" t="n">
        <f aca="false">external_curves!AA94</f>
        <v>8</v>
      </c>
      <c r="N134" s="138" t="n">
        <f aca="false">(L134*16*$K134)</f>
        <v>0</v>
      </c>
      <c r="O134" s="138" t="n">
        <f aca="false">(L134*13*$K134)</f>
        <v>0</v>
      </c>
      <c r="P134" s="138" t="n">
        <f aca="false">(M134*24*$K134)</f>
        <v>0</v>
      </c>
      <c r="Q134" s="138" t="n">
        <f aca="false">((L134+M134)*K134)*24</f>
        <v>0</v>
      </c>
      <c r="R134" s="0" t="n">
        <f aca="false">L134*8*K134</f>
        <v>0</v>
      </c>
      <c r="T134" s="0" t="n">
        <f aca="false">IF(N134=0,0,$L134*16)*$B$9</f>
        <v>0</v>
      </c>
      <c r="U134" s="0" t="n">
        <f aca="false">IF(O134=0,0,$L134*13)*$B$9</f>
        <v>0</v>
      </c>
      <c r="V134" s="0" t="n">
        <f aca="false">IF(P134=0,0,$M134*24)*$B$9</f>
        <v>0</v>
      </c>
      <c r="W134" s="0" t="n">
        <f aca="false">IF(Q134=0,0,($L134+$M134)*24)*$B$9</f>
        <v>0</v>
      </c>
      <c r="X134" s="0" t="n">
        <f aca="false">IF(R134=0,0,$L134*8)*$B$9</f>
        <v>0</v>
      </c>
    </row>
    <row r="135" customFormat="false" ht="12.75" hidden="false" customHeight="false" outlineLevel="0" collapsed="false">
      <c r="A135" s="61" t="n">
        <f aca="false">Fwd_curves!A165</f>
        <v>39052</v>
      </c>
      <c r="B135" s="0" t="n">
        <f aca="false">IF($A135&lt;$B$5,0,IF($A135&gt;$B$6,0,Fwd_curves!H165))</f>
        <v>0</v>
      </c>
      <c r="C135" s="0" t="n">
        <f aca="false">IF($A135&lt;$B$5,0,IF($A135&gt;$B$6,0,Fwd_curves!J165))</f>
        <v>0</v>
      </c>
      <c r="D135" s="0" t="n">
        <f aca="false">IF($A135&lt;$B$5,0,IF($A135&gt;$B$6,0,Fwd_curves!K165))</f>
        <v>0</v>
      </c>
      <c r="E135" s="0" t="n">
        <f aca="false">IF($A135&lt;$B$5,0,IF($A135&gt;$B$6,0,Fwd_curves!L165))</f>
        <v>0</v>
      </c>
      <c r="F135" s="0" t="n">
        <f aca="false">IF($A135&lt;$B$5,0,IF($A135&gt;$B$6,0,Fwd_curves!M165))</f>
        <v>0</v>
      </c>
      <c r="G135" s="0" t="n">
        <f aca="false">IF($A135&lt;$B$5,0,IF($A135&gt;$B$6,0,Fwd_curves!N165))</f>
        <v>0</v>
      </c>
      <c r="H135" s="54" t="n">
        <f aca="false">IF($A135&lt;$B$5,0,IF($A135&gt;$B$6,0,Fwd_curves!O165))</f>
        <v>0</v>
      </c>
      <c r="I135" s="54" t="n">
        <f aca="false">IF($A135&lt;$B$5,0,IF($A135&gt;$B$6,0,Fwd_curves!P165))</f>
        <v>0</v>
      </c>
      <c r="J135" s="0" t="n">
        <f aca="false">IF($A135&lt;$B$5,0,IF($A135&gt;$B$6,0,Fwd_curves!Q165))</f>
        <v>0</v>
      </c>
      <c r="K135" s="0" t="n">
        <f aca="false">IF(B135=0,0,$B$9*B135)</f>
        <v>0</v>
      </c>
      <c r="L135" s="56" t="n">
        <f aca="false">external_curves!AB95</f>
        <v>22</v>
      </c>
      <c r="M135" s="56" t="n">
        <f aca="false">external_curves!AA95</f>
        <v>9</v>
      </c>
      <c r="N135" s="138" t="n">
        <f aca="false">(L135*16*$K135)</f>
        <v>0</v>
      </c>
      <c r="O135" s="138" t="n">
        <f aca="false">(L135*13*$K135)</f>
        <v>0</v>
      </c>
      <c r="P135" s="138" t="n">
        <f aca="false">(M135*24*$K135)</f>
        <v>0</v>
      </c>
      <c r="Q135" s="138" t="n">
        <f aca="false">((L135+M135)*K135)*24</f>
        <v>0</v>
      </c>
      <c r="R135" s="0" t="n">
        <f aca="false">L135*8*K135</f>
        <v>0</v>
      </c>
      <c r="T135" s="0" t="n">
        <f aca="false">IF(N135=0,0,$L135*16)*$B$9</f>
        <v>0</v>
      </c>
      <c r="U135" s="0" t="n">
        <f aca="false">IF(O135=0,0,$L135*13)*$B$9</f>
        <v>0</v>
      </c>
      <c r="V135" s="0" t="n">
        <f aca="false">IF(P135=0,0,$M135*24)*$B$9</f>
        <v>0</v>
      </c>
      <c r="W135" s="0" t="n">
        <f aca="false">IF(Q135=0,0,($L135+$M135)*24)*$B$9</f>
        <v>0</v>
      </c>
      <c r="X135" s="0" t="n">
        <f aca="false">IF(R135=0,0,$L135*8)*$B$9</f>
        <v>0</v>
      </c>
    </row>
    <row r="136" customFormat="false" ht="12.75" hidden="false" customHeight="false" outlineLevel="0" collapsed="false">
      <c r="A136" s="61" t="n">
        <f aca="false">Fwd_curves!A166</f>
        <v>39083</v>
      </c>
      <c r="B136" s="0" t="n">
        <f aca="false">IF($A136&lt;$B$5,0,IF($A136&gt;$B$6,0,Fwd_curves!H166))</f>
        <v>0</v>
      </c>
      <c r="C136" s="0" t="n">
        <f aca="false">IF($A136&lt;$B$5,0,IF($A136&gt;$B$6,0,Fwd_curves!J166))</f>
        <v>0</v>
      </c>
      <c r="D136" s="0" t="n">
        <f aca="false">IF($A136&lt;$B$5,0,IF($A136&gt;$B$6,0,Fwd_curves!K166))</f>
        <v>0</v>
      </c>
      <c r="E136" s="0" t="n">
        <f aca="false">IF($A136&lt;$B$5,0,IF($A136&gt;$B$6,0,Fwd_curves!L166))</f>
        <v>0</v>
      </c>
      <c r="F136" s="0" t="n">
        <f aca="false">IF($A136&lt;$B$5,0,IF($A136&gt;$B$6,0,Fwd_curves!M166))</f>
        <v>0</v>
      </c>
      <c r="G136" s="0" t="n">
        <f aca="false">IF($A136&lt;$B$5,0,IF($A136&gt;$B$6,0,Fwd_curves!N166))</f>
        <v>0</v>
      </c>
      <c r="H136" s="54" t="n">
        <f aca="false">IF($A136&lt;$B$5,0,IF($A136&gt;$B$6,0,Fwd_curves!O166))</f>
        <v>0</v>
      </c>
      <c r="I136" s="54" t="n">
        <f aca="false">IF($A136&lt;$B$5,0,IF($A136&gt;$B$6,0,Fwd_curves!P166))</f>
        <v>0</v>
      </c>
      <c r="J136" s="0" t="n">
        <f aca="false">IF($A136&lt;$B$5,0,IF($A136&gt;$B$6,0,Fwd_curves!Q166))</f>
        <v>0</v>
      </c>
      <c r="K136" s="0" t="n">
        <f aca="false">IF(B136=0,0,$B$9*B136)</f>
        <v>0</v>
      </c>
      <c r="L136" s="56" t="n">
        <f aca="false">external_curves!AB96</f>
        <v>21</v>
      </c>
      <c r="M136" s="56" t="n">
        <f aca="false">external_curves!AA96</f>
        <v>10</v>
      </c>
      <c r="N136" s="138" t="n">
        <f aca="false">(L136*16*$K136)</f>
        <v>0</v>
      </c>
      <c r="O136" s="138" t="n">
        <f aca="false">(L136*13*$K136)</f>
        <v>0</v>
      </c>
      <c r="P136" s="138" t="n">
        <f aca="false">(M136*24*$K136)</f>
        <v>0</v>
      </c>
      <c r="Q136" s="138" t="n">
        <f aca="false">((L136+M136)*K136)*24</f>
        <v>0</v>
      </c>
      <c r="R136" s="0" t="n">
        <f aca="false">L136*8*K136</f>
        <v>0</v>
      </c>
      <c r="T136" s="0" t="n">
        <f aca="false">IF(N136=0,0,$L136*16)*$B$9</f>
        <v>0</v>
      </c>
      <c r="U136" s="0" t="n">
        <f aca="false">IF(O136=0,0,$L136*13)*$B$9</f>
        <v>0</v>
      </c>
      <c r="V136" s="0" t="n">
        <f aca="false">IF(P136=0,0,$M136*24)*$B$9</f>
        <v>0</v>
      </c>
      <c r="W136" s="0" t="n">
        <f aca="false">IF(Q136=0,0,($L136+$M136)*24)*$B$9</f>
        <v>0</v>
      </c>
      <c r="X136" s="0" t="n">
        <f aca="false">IF(R136=0,0,$L136*8)*$B$9</f>
        <v>0</v>
      </c>
    </row>
    <row r="137" customFormat="false" ht="12.75" hidden="false" customHeight="false" outlineLevel="0" collapsed="false">
      <c r="A137" s="61" t="n">
        <f aca="false">Fwd_curves!A167</f>
        <v>39114</v>
      </c>
      <c r="B137" s="0" t="n">
        <f aca="false">IF($A137&lt;$B$5,0,IF($A137&gt;$B$6,0,Fwd_curves!H167))</f>
        <v>0</v>
      </c>
      <c r="C137" s="0" t="n">
        <f aca="false">IF($A137&lt;$B$5,0,IF($A137&gt;$B$6,0,Fwd_curves!J167))</f>
        <v>0</v>
      </c>
      <c r="D137" s="0" t="n">
        <f aca="false">IF($A137&lt;$B$5,0,IF($A137&gt;$B$6,0,Fwd_curves!K167))</f>
        <v>0</v>
      </c>
      <c r="E137" s="0" t="n">
        <f aca="false">IF($A137&lt;$B$5,0,IF($A137&gt;$B$6,0,Fwd_curves!L167))</f>
        <v>0</v>
      </c>
      <c r="F137" s="0" t="n">
        <f aca="false">IF($A137&lt;$B$5,0,IF($A137&gt;$B$6,0,Fwd_curves!M167))</f>
        <v>0</v>
      </c>
      <c r="G137" s="0" t="n">
        <f aca="false">IF($A137&lt;$B$5,0,IF($A137&gt;$B$6,0,Fwd_curves!N167))</f>
        <v>0</v>
      </c>
      <c r="H137" s="54" t="n">
        <f aca="false">IF($A137&lt;$B$5,0,IF($A137&gt;$B$6,0,Fwd_curves!O167))</f>
        <v>0</v>
      </c>
      <c r="I137" s="54" t="n">
        <f aca="false">IF($A137&lt;$B$5,0,IF($A137&gt;$B$6,0,Fwd_curves!P167))</f>
        <v>0</v>
      </c>
      <c r="J137" s="0" t="n">
        <f aca="false">IF($A137&lt;$B$5,0,IF($A137&gt;$B$6,0,Fwd_curves!Q167))</f>
        <v>0</v>
      </c>
      <c r="K137" s="0" t="n">
        <f aca="false">IF(B137=0,0,$B$9*B137)</f>
        <v>0</v>
      </c>
      <c r="L137" s="56" t="n">
        <f aca="false">external_curves!AB97</f>
        <v>20</v>
      </c>
      <c r="M137" s="56" t="n">
        <f aca="false">external_curves!AA97</f>
        <v>8</v>
      </c>
      <c r="N137" s="138" t="n">
        <f aca="false">(L137*16*$K137)</f>
        <v>0</v>
      </c>
      <c r="O137" s="138" t="n">
        <f aca="false">(L137*13*$K137)</f>
        <v>0</v>
      </c>
      <c r="P137" s="138" t="n">
        <f aca="false">(M137*24*$K137)</f>
        <v>0</v>
      </c>
      <c r="Q137" s="138" t="n">
        <f aca="false">((L137+M137)*K137)*24</f>
        <v>0</v>
      </c>
      <c r="R137" s="0" t="n">
        <f aca="false">L137*8*K137</f>
        <v>0</v>
      </c>
      <c r="T137" s="0" t="n">
        <f aca="false">IF(N137=0,0,$L137*16)*$B$9</f>
        <v>0</v>
      </c>
      <c r="U137" s="0" t="n">
        <f aca="false">IF(O137=0,0,$L137*13)*$B$9</f>
        <v>0</v>
      </c>
      <c r="V137" s="0" t="n">
        <f aca="false">IF(P137=0,0,$M137*24)*$B$9</f>
        <v>0</v>
      </c>
      <c r="W137" s="0" t="n">
        <f aca="false">IF(Q137=0,0,($L137+$M137)*24)*$B$9</f>
        <v>0</v>
      </c>
      <c r="X137" s="0" t="n">
        <f aca="false">IF(R137=0,0,$L137*8)*$B$9</f>
        <v>0</v>
      </c>
    </row>
    <row r="138" customFormat="false" ht="12.75" hidden="false" customHeight="false" outlineLevel="0" collapsed="false">
      <c r="A138" s="61" t="n">
        <f aca="false">Fwd_curves!A168</f>
        <v>39142</v>
      </c>
      <c r="B138" s="0" t="n">
        <f aca="false">IF($A138&lt;$B$5,0,IF($A138&gt;$B$6,0,Fwd_curves!H168))</f>
        <v>0</v>
      </c>
      <c r="C138" s="0" t="n">
        <f aca="false">IF($A138&lt;$B$5,0,IF($A138&gt;$B$6,0,Fwd_curves!J168))</f>
        <v>0</v>
      </c>
      <c r="D138" s="0" t="n">
        <f aca="false">IF($A138&lt;$B$5,0,IF($A138&gt;$B$6,0,Fwd_curves!K168))</f>
        <v>0</v>
      </c>
      <c r="E138" s="0" t="n">
        <f aca="false">IF($A138&lt;$B$5,0,IF($A138&gt;$B$6,0,Fwd_curves!L168))</f>
        <v>0</v>
      </c>
      <c r="F138" s="0" t="n">
        <f aca="false">IF($A138&lt;$B$5,0,IF($A138&gt;$B$6,0,Fwd_curves!M168))</f>
        <v>0</v>
      </c>
      <c r="G138" s="0" t="n">
        <f aca="false">IF($A138&lt;$B$5,0,IF($A138&gt;$B$6,0,Fwd_curves!N168))</f>
        <v>0</v>
      </c>
      <c r="H138" s="54" t="n">
        <f aca="false">IF($A138&lt;$B$5,0,IF($A138&gt;$B$6,0,Fwd_curves!O168))</f>
        <v>0</v>
      </c>
      <c r="I138" s="54" t="n">
        <f aca="false">IF($A138&lt;$B$5,0,IF($A138&gt;$B$6,0,Fwd_curves!P168))</f>
        <v>0</v>
      </c>
      <c r="J138" s="0" t="n">
        <f aca="false">IF($A138&lt;$B$5,0,IF($A138&gt;$B$6,0,Fwd_curves!Q168))</f>
        <v>0</v>
      </c>
      <c r="K138" s="0" t="n">
        <f aca="false">IF(B138=0,0,$B$9*B138)</f>
        <v>0</v>
      </c>
      <c r="L138" s="56" t="n">
        <f aca="false">external_curves!AB98</f>
        <v>23</v>
      </c>
      <c r="M138" s="56" t="n">
        <f aca="false">external_curves!AA98</f>
        <v>8</v>
      </c>
      <c r="N138" s="138" t="n">
        <f aca="false">(L138*16*$K138)</f>
        <v>0</v>
      </c>
      <c r="O138" s="138" t="n">
        <f aca="false">(L138*13*$K138)</f>
        <v>0</v>
      </c>
      <c r="P138" s="138" t="n">
        <f aca="false">(M138*24*$K138)</f>
        <v>0</v>
      </c>
      <c r="Q138" s="138" t="n">
        <f aca="false">((L138+M138)*K138)*24</f>
        <v>0</v>
      </c>
      <c r="R138" s="0" t="n">
        <f aca="false">L138*8*K138</f>
        <v>0</v>
      </c>
      <c r="T138" s="0" t="n">
        <f aca="false">IF(N138=0,0,$L138*16)*$B$9</f>
        <v>0</v>
      </c>
      <c r="U138" s="0" t="n">
        <f aca="false">IF(O138=0,0,$L138*13)*$B$9</f>
        <v>0</v>
      </c>
      <c r="V138" s="0" t="n">
        <f aca="false">IF(P138=0,0,$M138*24)*$B$9</f>
        <v>0</v>
      </c>
      <c r="W138" s="0" t="n">
        <f aca="false">IF(Q138=0,0,($L138+$M138)*24)*$B$9</f>
        <v>0</v>
      </c>
      <c r="X138" s="0" t="n">
        <f aca="false">IF(R138=0,0,$L138*8)*$B$9</f>
        <v>0</v>
      </c>
    </row>
    <row r="139" customFormat="false" ht="12.75" hidden="false" customHeight="false" outlineLevel="0" collapsed="false">
      <c r="A139" s="61" t="n">
        <f aca="false">Fwd_curves!A169</f>
        <v>39173</v>
      </c>
      <c r="B139" s="0" t="n">
        <f aca="false">IF($A139&lt;$B$5,0,IF($A139&gt;$B$6,0,Fwd_curves!H169))</f>
        <v>0</v>
      </c>
      <c r="C139" s="0" t="n">
        <f aca="false">IF($A139&lt;$B$5,0,IF($A139&gt;$B$6,0,Fwd_curves!J169))</f>
        <v>0</v>
      </c>
      <c r="D139" s="0" t="n">
        <f aca="false">IF($A139&lt;$B$5,0,IF($A139&gt;$B$6,0,Fwd_curves!K169))</f>
        <v>0</v>
      </c>
      <c r="E139" s="0" t="n">
        <f aca="false">IF($A139&lt;$B$5,0,IF($A139&gt;$B$6,0,Fwd_curves!L169))</f>
        <v>0</v>
      </c>
      <c r="F139" s="0" t="n">
        <f aca="false">IF($A139&lt;$B$5,0,IF($A139&gt;$B$6,0,Fwd_curves!M169))</f>
        <v>0</v>
      </c>
      <c r="G139" s="0" t="n">
        <f aca="false">IF($A139&lt;$B$5,0,IF($A139&gt;$B$6,0,Fwd_curves!N169))</f>
        <v>0</v>
      </c>
      <c r="H139" s="54" t="n">
        <f aca="false">IF($A139&lt;$B$5,0,IF($A139&gt;$B$6,0,Fwd_curves!O169))</f>
        <v>0</v>
      </c>
      <c r="I139" s="54" t="n">
        <f aca="false">IF($A139&lt;$B$5,0,IF($A139&gt;$B$6,0,Fwd_curves!P169))</f>
        <v>0</v>
      </c>
      <c r="J139" s="0" t="n">
        <f aca="false">IF($A139&lt;$B$5,0,IF($A139&gt;$B$6,0,Fwd_curves!Q169))</f>
        <v>0</v>
      </c>
      <c r="K139" s="0" t="n">
        <f aca="false">IF(B139=0,0,$B$9*B139)</f>
        <v>0</v>
      </c>
      <c r="L139" s="56" t="n">
        <f aca="false">external_curves!AB99</f>
        <v>21</v>
      </c>
      <c r="M139" s="56" t="n">
        <f aca="false">external_curves!AA99</f>
        <v>9</v>
      </c>
      <c r="N139" s="138" t="n">
        <f aca="false">(L139*16*$K139)</f>
        <v>0</v>
      </c>
      <c r="O139" s="138" t="n">
        <f aca="false">(L139*13*$K139)</f>
        <v>0</v>
      </c>
      <c r="P139" s="138" t="n">
        <f aca="false">(M139*24*$K139)</f>
        <v>0</v>
      </c>
      <c r="Q139" s="138" t="n">
        <f aca="false">((L139+M139)*K139)*24</f>
        <v>0</v>
      </c>
      <c r="R139" s="0" t="n">
        <f aca="false">L139*8*K139</f>
        <v>0</v>
      </c>
      <c r="T139" s="0" t="n">
        <f aca="false">IF(N139=0,0,$L139*16)*$B$9</f>
        <v>0</v>
      </c>
      <c r="U139" s="0" t="n">
        <f aca="false">IF(O139=0,0,$L139*13)*$B$9</f>
        <v>0</v>
      </c>
      <c r="V139" s="0" t="n">
        <f aca="false">IF(P139=0,0,$M139*24)*$B$9</f>
        <v>0</v>
      </c>
      <c r="W139" s="0" t="n">
        <f aca="false">IF(Q139=0,0,($L139+$M139)*24)*$B$9</f>
        <v>0</v>
      </c>
      <c r="X139" s="0" t="n">
        <f aca="false">IF(R139=0,0,$L139*8)*$B$9</f>
        <v>0</v>
      </c>
    </row>
    <row r="140" customFormat="false" ht="12.75" hidden="false" customHeight="false" outlineLevel="0" collapsed="false">
      <c r="A140" s="61" t="n">
        <f aca="false">Fwd_curves!A170</f>
        <v>39203</v>
      </c>
      <c r="B140" s="0" t="n">
        <f aca="false">IF($A140&lt;$B$5,0,IF($A140&gt;$B$6,0,Fwd_curves!H170))</f>
        <v>0</v>
      </c>
      <c r="C140" s="0" t="n">
        <f aca="false">IF($A140&lt;$B$5,0,IF($A140&gt;$B$6,0,Fwd_curves!J170))</f>
        <v>0</v>
      </c>
      <c r="D140" s="0" t="n">
        <f aca="false">IF($A140&lt;$B$5,0,IF($A140&gt;$B$6,0,Fwd_curves!K170))</f>
        <v>0</v>
      </c>
      <c r="E140" s="0" t="n">
        <f aca="false">IF($A140&lt;$B$5,0,IF($A140&gt;$B$6,0,Fwd_curves!L170))</f>
        <v>0</v>
      </c>
      <c r="F140" s="0" t="n">
        <f aca="false">IF($A140&lt;$B$5,0,IF($A140&gt;$B$6,0,Fwd_curves!M170))</f>
        <v>0</v>
      </c>
      <c r="G140" s="0" t="n">
        <f aca="false">IF($A140&lt;$B$5,0,IF($A140&gt;$B$6,0,Fwd_curves!N170))</f>
        <v>0</v>
      </c>
      <c r="H140" s="54" t="n">
        <f aca="false">IF($A140&lt;$B$5,0,IF($A140&gt;$B$6,0,Fwd_curves!O170))</f>
        <v>0</v>
      </c>
      <c r="I140" s="54" t="n">
        <f aca="false">IF($A140&lt;$B$5,0,IF($A140&gt;$B$6,0,Fwd_curves!P170))</f>
        <v>0</v>
      </c>
      <c r="J140" s="0" t="n">
        <f aca="false">IF($A140&lt;$B$5,0,IF($A140&gt;$B$6,0,Fwd_curves!Q170))</f>
        <v>0</v>
      </c>
      <c r="K140" s="0" t="n">
        <f aca="false">IF(B140=0,0,$B$9*B140)</f>
        <v>0</v>
      </c>
      <c r="L140" s="56" t="n">
        <f aca="false">external_curves!AB100</f>
        <v>22</v>
      </c>
      <c r="M140" s="56" t="n">
        <f aca="false">external_curves!AA100</f>
        <v>9</v>
      </c>
      <c r="N140" s="138" t="n">
        <f aca="false">(L140*16*$K140)</f>
        <v>0</v>
      </c>
      <c r="O140" s="138" t="n">
        <f aca="false">(L140*13*$K140)</f>
        <v>0</v>
      </c>
      <c r="P140" s="138" t="n">
        <f aca="false">(M140*24*$K140)</f>
        <v>0</v>
      </c>
      <c r="Q140" s="138" t="n">
        <f aca="false">((L140+M140)*K140)*24</f>
        <v>0</v>
      </c>
      <c r="R140" s="0" t="n">
        <f aca="false">L140*8*K140</f>
        <v>0</v>
      </c>
      <c r="T140" s="0" t="n">
        <f aca="false">IF(N140=0,0,$L140*16)*$B$9</f>
        <v>0</v>
      </c>
      <c r="U140" s="0" t="n">
        <f aca="false">IF(O140=0,0,$L140*13)*$B$9</f>
        <v>0</v>
      </c>
      <c r="V140" s="0" t="n">
        <f aca="false">IF(P140=0,0,$M140*24)*$B$9</f>
        <v>0</v>
      </c>
      <c r="W140" s="0" t="n">
        <f aca="false">IF(Q140=0,0,($L140+$M140)*24)*$B$9</f>
        <v>0</v>
      </c>
      <c r="X140" s="0" t="n">
        <f aca="false">IF(R140=0,0,$L140*8)*$B$9</f>
        <v>0</v>
      </c>
    </row>
    <row r="141" customFormat="false" ht="12.75" hidden="false" customHeight="false" outlineLevel="0" collapsed="false">
      <c r="A141" s="61" t="n">
        <f aca="false">Fwd_curves!A171</f>
        <v>39234</v>
      </c>
      <c r="B141" s="0" t="n">
        <f aca="false">IF($A141&lt;$B$5,0,IF($A141&gt;$B$6,0,Fwd_curves!H171))</f>
        <v>0</v>
      </c>
      <c r="C141" s="0" t="n">
        <f aca="false">IF($A141&lt;$B$5,0,IF($A141&gt;$B$6,0,Fwd_curves!J171))</f>
        <v>0</v>
      </c>
      <c r="D141" s="0" t="n">
        <f aca="false">IF($A141&lt;$B$5,0,IF($A141&gt;$B$6,0,Fwd_curves!K171))</f>
        <v>0</v>
      </c>
      <c r="E141" s="0" t="n">
        <f aca="false">IF($A141&lt;$B$5,0,IF($A141&gt;$B$6,0,Fwd_curves!L171))</f>
        <v>0</v>
      </c>
      <c r="F141" s="0" t="n">
        <f aca="false">IF($A141&lt;$B$5,0,IF($A141&gt;$B$6,0,Fwd_curves!M171))</f>
        <v>0</v>
      </c>
      <c r="G141" s="0" t="n">
        <f aca="false">IF($A141&lt;$B$5,0,IF($A141&gt;$B$6,0,Fwd_curves!N171))</f>
        <v>0</v>
      </c>
      <c r="H141" s="54" t="n">
        <f aca="false">IF($A141&lt;$B$5,0,IF($A141&gt;$B$6,0,Fwd_curves!O171))</f>
        <v>0</v>
      </c>
      <c r="I141" s="54" t="n">
        <f aca="false">IF($A141&lt;$B$5,0,IF($A141&gt;$B$6,0,Fwd_curves!P171))</f>
        <v>0</v>
      </c>
      <c r="J141" s="0" t="n">
        <f aca="false">IF($A141&lt;$B$5,0,IF($A141&gt;$B$6,0,Fwd_curves!Q171))</f>
        <v>0</v>
      </c>
      <c r="K141" s="0" t="n">
        <f aca="false">IF(B141=0,0,$B$9*B141)</f>
        <v>0</v>
      </c>
      <c r="L141" s="56" t="n">
        <f aca="false">external_curves!AB101</f>
        <v>22</v>
      </c>
      <c r="M141" s="56" t="n">
        <f aca="false">external_curves!AA101</f>
        <v>8</v>
      </c>
      <c r="N141" s="138" t="n">
        <f aca="false">(L141*16*$K141)</f>
        <v>0</v>
      </c>
      <c r="O141" s="138" t="n">
        <f aca="false">(L141*13*$K141)</f>
        <v>0</v>
      </c>
      <c r="P141" s="138" t="n">
        <f aca="false">(M141*24*$K141)</f>
        <v>0</v>
      </c>
      <c r="Q141" s="138" t="n">
        <f aca="false">((L141+M141)*K141)*24</f>
        <v>0</v>
      </c>
      <c r="R141" s="0" t="n">
        <f aca="false">L141*8*K141</f>
        <v>0</v>
      </c>
      <c r="T141" s="0" t="n">
        <f aca="false">IF(N141=0,0,$L141*16)*$B$9</f>
        <v>0</v>
      </c>
      <c r="U141" s="0" t="n">
        <f aca="false">IF(O141=0,0,$L141*13)*$B$9</f>
        <v>0</v>
      </c>
      <c r="V141" s="0" t="n">
        <f aca="false">IF(P141=0,0,$M141*24)*$B$9</f>
        <v>0</v>
      </c>
      <c r="W141" s="0" t="n">
        <f aca="false">IF(Q141=0,0,($L141+$M141)*24)*$B$9</f>
        <v>0</v>
      </c>
      <c r="X141" s="0" t="n">
        <f aca="false">IF(R141=0,0,$L141*8)*$B$9</f>
        <v>0</v>
      </c>
    </row>
    <row r="142" customFormat="false" ht="12.75" hidden="false" customHeight="false" outlineLevel="0" collapsed="false">
      <c r="A142" s="61" t="n">
        <f aca="false">Fwd_curves!A172</f>
        <v>39264</v>
      </c>
      <c r="B142" s="0" t="n">
        <f aca="false">IF($A142&lt;$B$5,0,IF($A142&gt;$B$6,0,Fwd_curves!H172))</f>
        <v>0</v>
      </c>
      <c r="C142" s="0" t="n">
        <f aca="false">IF($A142&lt;$B$5,0,IF($A142&gt;$B$6,0,Fwd_curves!J172))</f>
        <v>0</v>
      </c>
      <c r="D142" s="0" t="n">
        <f aca="false">IF($A142&lt;$B$5,0,IF($A142&gt;$B$6,0,Fwd_curves!K172))</f>
        <v>0</v>
      </c>
      <c r="E142" s="0" t="n">
        <f aca="false">IF($A142&lt;$B$5,0,IF($A142&gt;$B$6,0,Fwd_curves!L172))</f>
        <v>0</v>
      </c>
      <c r="F142" s="0" t="n">
        <f aca="false">IF($A142&lt;$B$5,0,IF($A142&gt;$B$6,0,Fwd_curves!M172))</f>
        <v>0</v>
      </c>
      <c r="G142" s="0" t="n">
        <f aca="false">IF($A142&lt;$B$5,0,IF($A142&gt;$B$6,0,Fwd_curves!N172))</f>
        <v>0</v>
      </c>
      <c r="H142" s="54" t="n">
        <f aca="false">IF($A142&lt;$B$5,0,IF($A142&gt;$B$6,0,Fwd_curves!O172))</f>
        <v>0</v>
      </c>
      <c r="I142" s="54" t="n">
        <f aca="false">IF($A142&lt;$B$5,0,IF($A142&gt;$B$6,0,Fwd_curves!P172))</f>
        <v>0</v>
      </c>
      <c r="J142" s="0" t="n">
        <f aca="false">IF($A142&lt;$B$5,0,IF($A142&gt;$B$6,0,Fwd_curves!Q172))</f>
        <v>0</v>
      </c>
      <c r="K142" s="0" t="n">
        <f aca="false">IF(B142=0,0,$B$9*B142)</f>
        <v>0</v>
      </c>
      <c r="L142" s="56" t="n">
        <f aca="false">external_curves!AB102</f>
        <v>21</v>
      </c>
      <c r="M142" s="56" t="n">
        <f aca="false">external_curves!AA102</f>
        <v>10</v>
      </c>
      <c r="N142" s="138" t="n">
        <f aca="false">(L142*16*$K142)</f>
        <v>0</v>
      </c>
      <c r="O142" s="138" t="n">
        <f aca="false">(L142*13*$K142)</f>
        <v>0</v>
      </c>
      <c r="P142" s="138" t="n">
        <f aca="false">(M142*24*$K142)</f>
        <v>0</v>
      </c>
      <c r="Q142" s="138" t="n">
        <f aca="false">((L142+M142)*K142)*24</f>
        <v>0</v>
      </c>
      <c r="R142" s="0" t="n">
        <f aca="false">L142*8*K142</f>
        <v>0</v>
      </c>
      <c r="T142" s="0" t="n">
        <f aca="false">IF(N142=0,0,$L142*16)*$B$9</f>
        <v>0</v>
      </c>
      <c r="U142" s="0" t="n">
        <f aca="false">IF(O142=0,0,$L142*13)*$B$9</f>
        <v>0</v>
      </c>
      <c r="V142" s="0" t="n">
        <f aca="false">IF(P142=0,0,$M142*24)*$B$9</f>
        <v>0</v>
      </c>
      <c r="W142" s="0" t="n">
        <f aca="false">IF(Q142=0,0,($L142+$M142)*24)*$B$9</f>
        <v>0</v>
      </c>
      <c r="X142" s="0" t="n">
        <f aca="false">IF(R142=0,0,$L142*8)*$B$9</f>
        <v>0</v>
      </c>
    </row>
    <row r="143" customFormat="false" ht="12.75" hidden="false" customHeight="false" outlineLevel="0" collapsed="false">
      <c r="A143" s="61" t="n">
        <f aca="false">Fwd_curves!A173</f>
        <v>39295</v>
      </c>
      <c r="B143" s="0" t="n">
        <f aca="false">IF($A143&lt;$B$5,0,IF($A143&gt;$B$6,0,Fwd_curves!H173))</f>
        <v>0</v>
      </c>
      <c r="C143" s="0" t="n">
        <f aca="false">IF($A143&lt;$B$5,0,IF($A143&gt;$B$6,0,Fwd_curves!J173))</f>
        <v>0</v>
      </c>
      <c r="D143" s="0" t="n">
        <f aca="false">IF($A143&lt;$B$5,0,IF($A143&gt;$B$6,0,Fwd_curves!K173))</f>
        <v>0</v>
      </c>
      <c r="E143" s="0" t="n">
        <f aca="false">IF($A143&lt;$B$5,0,IF($A143&gt;$B$6,0,Fwd_curves!L173))</f>
        <v>0</v>
      </c>
      <c r="F143" s="0" t="n">
        <f aca="false">IF($A143&lt;$B$5,0,IF($A143&gt;$B$6,0,Fwd_curves!M173))</f>
        <v>0</v>
      </c>
      <c r="G143" s="0" t="n">
        <f aca="false">IF($A143&lt;$B$5,0,IF($A143&gt;$B$6,0,Fwd_curves!N173))</f>
        <v>0</v>
      </c>
      <c r="H143" s="54" t="n">
        <f aca="false">IF($A143&lt;$B$5,0,IF($A143&gt;$B$6,0,Fwd_curves!O173))</f>
        <v>0</v>
      </c>
      <c r="I143" s="54" t="n">
        <f aca="false">IF($A143&lt;$B$5,0,IF($A143&gt;$B$6,0,Fwd_curves!P173))</f>
        <v>0</v>
      </c>
      <c r="J143" s="0" t="n">
        <f aca="false">IF($A143&lt;$B$5,0,IF($A143&gt;$B$6,0,Fwd_curves!Q173))</f>
        <v>0</v>
      </c>
      <c r="K143" s="0" t="n">
        <f aca="false">IF(B143=0,0,$B$9*B143)</f>
        <v>0</v>
      </c>
      <c r="L143" s="56" t="n">
        <f aca="false">external_curves!AB103</f>
        <v>23</v>
      </c>
      <c r="M143" s="56" t="n">
        <f aca="false">external_curves!AA103</f>
        <v>8</v>
      </c>
      <c r="N143" s="138" t="n">
        <f aca="false">(L143*16*$K143)</f>
        <v>0</v>
      </c>
      <c r="O143" s="138" t="n">
        <f aca="false">(L143*13*$K143)</f>
        <v>0</v>
      </c>
      <c r="P143" s="138" t="n">
        <f aca="false">(M143*24*$K143)</f>
        <v>0</v>
      </c>
      <c r="Q143" s="138" t="n">
        <f aca="false">((L143+M143)*K143)*24</f>
        <v>0</v>
      </c>
      <c r="R143" s="0" t="n">
        <f aca="false">L143*8*K143</f>
        <v>0</v>
      </c>
      <c r="T143" s="0" t="n">
        <f aca="false">IF(N143=0,0,$L143*16)*$B$9</f>
        <v>0</v>
      </c>
      <c r="U143" s="0" t="n">
        <f aca="false">IF(O143=0,0,$L143*13)*$B$9</f>
        <v>0</v>
      </c>
      <c r="V143" s="0" t="n">
        <f aca="false">IF(P143=0,0,$M143*24)*$B$9</f>
        <v>0</v>
      </c>
      <c r="W143" s="0" t="n">
        <f aca="false">IF(Q143=0,0,($L143+$M143)*24)*$B$9</f>
        <v>0</v>
      </c>
      <c r="X143" s="0" t="n">
        <f aca="false">IF(R143=0,0,$L143*8)*$B$9</f>
        <v>0</v>
      </c>
    </row>
    <row r="144" customFormat="false" ht="12.75" hidden="false" customHeight="false" outlineLevel="0" collapsed="false">
      <c r="A144" s="61" t="n">
        <f aca="false">Fwd_curves!A174</f>
        <v>39326</v>
      </c>
      <c r="B144" s="0" t="n">
        <f aca="false">IF($A144&lt;$B$5,0,IF($A144&gt;$B$6,0,Fwd_curves!H174))</f>
        <v>0</v>
      </c>
      <c r="C144" s="0" t="n">
        <f aca="false">IF($A144&lt;$B$5,0,IF($A144&gt;$B$6,0,Fwd_curves!J174))</f>
        <v>0</v>
      </c>
      <c r="D144" s="0" t="n">
        <f aca="false">IF($A144&lt;$B$5,0,IF($A144&gt;$B$6,0,Fwd_curves!K174))</f>
        <v>0</v>
      </c>
      <c r="E144" s="0" t="n">
        <f aca="false">IF($A144&lt;$B$5,0,IF($A144&gt;$B$6,0,Fwd_curves!L174))</f>
        <v>0</v>
      </c>
      <c r="F144" s="0" t="n">
        <f aca="false">IF($A144&lt;$B$5,0,IF($A144&gt;$B$6,0,Fwd_curves!M174))</f>
        <v>0</v>
      </c>
      <c r="G144" s="0" t="n">
        <f aca="false">IF($A144&lt;$B$5,0,IF($A144&gt;$B$6,0,Fwd_curves!N174))</f>
        <v>0</v>
      </c>
      <c r="H144" s="54" t="n">
        <f aca="false">IF($A144&lt;$B$5,0,IF($A144&gt;$B$6,0,Fwd_curves!O174))</f>
        <v>0</v>
      </c>
      <c r="I144" s="54" t="n">
        <f aca="false">IF($A144&lt;$B$5,0,IF($A144&gt;$B$6,0,Fwd_curves!P174))</f>
        <v>0</v>
      </c>
      <c r="J144" s="0" t="n">
        <f aca="false">IF($A144&lt;$B$5,0,IF($A144&gt;$B$6,0,Fwd_curves!Q174))</f>
        <v>0</v>
      </c>
      <c r="K144" s="0" t="n">
        <f aca="false">IF(B144=0,0,$B$9*B144)</f>
        <v>0</v>
      </c>
      <c r="L144" s="56" t="n">
        <f aca="false">external_curves!AB104</f>
        <v>22</v>
      </c>
      <c r="M144" s="56" t="n">
        <f aca="false">external_curves!AA104</f>
        <v>8</v>
      </c>
      <c r="N144" s="138" t="n">
        <f aca="false">(L144*16*$K144)</f>
        <v>0</v>
      </c>
      <c r="O144" s="138" t="n">
        <f aca="false">(L144*13*$K144)</f>
        <v>0</v>
      </c>
      <c r="P144" s="138" t="n">
        <f aca="false">(M144*24*$K144)</f>
        <v>0</v>
      </c>
      <c r="Q144" s="138" t="n">
        <f aca="false">((L144+M144)*K144)*24</f>
        <v>0</v>
      </c>
      <c r="R144" s="0" t="n">
        <f aca="false">L144*8*K144</f>
        <v>0</v>
      </c>
      <c r="T144" s="0" t="n">
        <f aca="false">IF(N144=0,0,$L144*16)*$B$9</f>
        <v>0</v>
      </c>
      <c r="U144" s="0" t="n">
        <f aca="false">IF(O144=0,0,$L144*13)*$B$9</f>
        <v>0</v>
      </c>
      <c r="V144" s="0" t="n">
        <f aca="false">IF(P144=0,0,$M144*24)*$B$9</f>
        <v>0</v>
      </c>
      <c r="W144" s="0" t="n">
        <f aca="false">IF(Q144=0,0,($L144+$M144)*24)*$B$9</f>
        <v>0</v>
      </c>
      <c r="X144" s="0" t="n">
        <f aca="false">IF(R144=0,0,$L144*8)*$B$9</f>
        <v>0</v>
      </c>
    </row>
    <row r="145" customFormat="false" ht="12.75" hidden="false" customHeight="false" outlineLevel="0" collapsed="false">
      <c r="A145" s="61" t="n">
        <f aca="false">Fwd_curves!A175</f>
        <v>39356</v>
      </c>
      <c r="B145" s="0" t="n">
        <f aca="false">IF($A145&lt;$B$5,0,IF($A145&gt;$B$6,0,Fwd_curves!H175))</f>
        <v>0</v>
      </c>
      <c r="C145" s="0" t="n">
        <f aca="false">IF($A145&lt;$B$5,0,IF($A145&gt;$B$6,0,Fwd_curves!J175))</f>
        <v>0</v>
      </c>
      <c r="D145" s="0" t="n">
        <f aca="false">IF($A145&lt;$B$5,0,IF($A145&gt;$B$6,0,Fwd_curves!K175))</f>
        <v>0</v>
      </c>
      <c r="E145" s="0" t="n">
        <f aca="false">IF($A145&lt;$B$5,0,IF($A145&gt;$B$6,0,Fwd_curves!L175))</f>
        <v>0</v>
      </c>
      <c r="F145" s="0" t="n">
        <f aca="false">IF($A145&lt;$B$5,0,IF($A145&gt;$B$6,0,Fwd_curves!M175))</f>
        <v>0</v>
      </c>
      <c r="G145" s="0" t="n">
        <f aca="false">IF($A145&lt;$B$5,0,IF($A145&gt;$B$6,0,Fwd_curves!N175))</f>
        <v>0</v>
      </c>
      <c r="H145" s="54" t="n">
        <f aca="false">IF($A145&lt;$B$5,0,IF($A145&gt;$B$6,0,Fwd_curves!O175))</f>
        <v>0</v>
      </c>
      <c r="I145" s="54" t="n">
        <f aca="false">IF($A145&lt;$B$5,0,IF($A145&gt;$B$6,0,Fwd_curves!P175))</f>
        <v>0</v>
      </c>
      <c r="J145" s="0" t="n">
        <f aca="false">IF($A145&lt;$B$5,0,IF($A145&gt;$B$6,0,Fwd_curves!Q175))</f>
        <v>0</v>
      </c>
      <c r="K145" s="0" t="n">
        <f aca="false">IF(B145=0,0,$B$9*B145)</f>
        <v>0</v>
      </c>
      <c r="L145" s="56" t="n">
        <f aca="false">external_curves!AB105</f>
        <v>21</v>
      </c>
      <c r="M145" s="56" t="n">
        <f aca="false">external_curves!AA105</f>
        <v>10</v>
      </c>
      <c r="N145" s="138" t="n">
        <f aca="false">(L145*16*$K145)</f>
        <v>0</v>
      </c>
      <c r="O145" s="138" t="n">
        <f aca="false">(L145*13*$K145)</f>
        <v>0</v>
      </c>
      <c r="P145" s="138" t="n">
        <f aca="false">(M145*24*$K145)</f>
        <v>0</v>
      </c>
      <c r="Q145" s="138" t="n">
        <f aca="false">((L145+M145)*K145)*24</f>
        <v>0</v>
      </c>
      <c r="R145" s="0" t="n">
        <f aca="false">L145*8*K145</f>
        <v>0</v>
      </c>
      <c r="T145" s="0" t="n">
        <f aca="false">IF(N145=0,0,$L145*16)*$B$9</f>
        <v>0</v>
      </c>
      <c r="U145" s="0" t="n">
        <f aca="false">IF(O145=0,0,$L145*13)*$B$9</f>
        <v>0</v>
      </c>
      <c r="V145" s="0" t="n">
        <f aca="false">IF(P145=0,0,$M145*24)*$B$9</f>
        <v>0</v>
      </c>
      <c r="W145" s="0" t="n">
        <f aca="false">IF(Q145=0,0,($L145+$M145)*24)*$B$9</f>
        <v>0</v>
      </c>
      <c r="X145" s="0" t="n">
        <f aca="false">IF(R145=0,0,$L145*8)*$B$9</f>
        <v>0</v>
      </c>
    </row>
    <row r="146" customFormat="false" ht="12.75" hidden="false" customHeight="false" outlineLevel="0" collapsed="false">
      <c r="A146" s="61" t="n">
        <f aca="false">Fwd_curves!A176</f>
        <v>39387</v>
      </c>
      <c r="B146" s="0" t="n">
        <f aca="false">IF($A146&lt;$B$5,0,IF($A146&gt;$B$6,0,Fwd_curves!H176))</f>
        <v>0</v>
      </c>
      <c r="C146" s="0" t="n">
        <f aca="false">IF($A146&lt;$B$5,0,IF($A146&gt;$B$6,0,Fwd_curves!J176))</f>
        <v>0</v>
      </c>
      <c r="D146" s="0" t="n">
        <f aca="false">IF($A146&lt;$B$5,0,IF($A146&gt;$B$6,0,Fwd_curves!K176))</f>
        <v>0</v>
      </c>
      <c r="E146" s="0" t="n">
        <f aca="false">IF($A146&lt;$B$5,0,IF($A146&gt;$B$6,0,Fwd_curves!L176))</f>
        <v>0</v>
      </c>
      <c r="F146" s="0" t="n">
        <f aca="false">IF($A146&lt;$B$5,0,IF($A146&gt;$B$6,0,Fwd_curves!M176))</f>
        <v>0</v>
      </c>
      <c r="G146" s="0" t="n">
        <f aca="false">IF($A146&lt;$B$5,0,IF($A146&gt;$B$6,0,Fwd_curves!N176))</f>
        <v>0</v>
      </c>
      <c r="H146" s="54" t="n">
        <f aca="false">IF($A146&lt;$B$5,0,IF($A146&gt;$B$6,0,Fwd_curves!O176))</f>
        <v>0</v>
      </c>
      <c r="I146" s="54" t="n">
        <f aca="false">IF($A146&lt;$B$5,0,IF($A146&gt;$B$6,0,Fwd_curves!P176))</f>
        <v>0</v>
      </c>
      <c r="J146" s="0" t="n">
        <f aca="false">IF($A146&lt;$B$5,0,IF($A146&gt;$B$6,0,Fwd_curves!Q176))</f>
        <v>0</v>
      </c>
      <c r="K146" s="0" t="n">
        <f aca="false">IF(B146=0,0,$B$9*B146)</f>
        <v>0</v>
      </c>
      <c r="L146" s="56" t="n">
        <f aca="false">external_curves!AB106</f>
        <v>22</v>
      </c>
      <c r="M146" s="56" t="n">
        <f aca="false">external_curves!AA106</f>
        <v>8</v>
      </c>
      <c r="N146" s="138" t="n">
        <f aca="false">(L146*16*$K146)</f>
        <v>0</v>
      </c>
      <c r="O146" s="138" t="n">
        <f aca="false">(L146*13*$K146)</f>
        <v>0</v>
      </c>
      <c r="P146" s="138" t="n">
        <f aca="false">(M146*24*$K146)</f>
        <v>0</v>
      </c>
      <c r="Q146" s="138" t="n">
        <f aca="false">((L146+M146)*K146)*24</f>
        <v>0</v>
      </c>
      <c r="R146" s="0" t="n">
        <f aca="false">L146*8*K146</f>
        <v>0</v>
      </c>
      <c r="T146" s="0" t="n">
        <f aca="false">IF(N146=0,0,$L146*16)*$B$9</f>
        <v>0</v>
      </c>
      <c r="U146" s="0" t="n">
        <f aca="false">IF(O146=0,0,$L146*13)*$B$9</f>
        <v>0</v>
      </c>
      <c r="V146" s="0" t="n">
        <f aca="false">IF(P146=0,0,$M146*24)*$B$9</f>
        <v>0</v>
      </c>
      <c r="W146" s="0" t="n">
        <f aca="false">IF(Q146=0,0,($L146+$M146)*24)*$B$9</f>
        <v>0</v>
      </c>
      <c r="X146" s="0" t="n">
        <f aca="false">IF(R146=0,0,$L146*8)*$B$9</f>
        <v>0</v>
      </c>
    </row>
    <row r="147" customFormat="false" ht="12.75" hidden="false" customHeight="false" outlineLevel="0" collapsed="false">
      <c r="A147" s="61" t="n">
        <f aca="false">Fwd_curves!A177</f>
        <v>39417</v>
      </c>
      <c r="B147" s="0" t="n">
        <f aca="false">IF($A147&lt;$B$5,0,IF($A147&gt;$B$6,0,Fwd_curves!H177))</f>
        <v>0</v>
      </c>
      <c r="C147" s="0" t="n">
        <f aca="false">IF($A147&lt;$B$5,0,IF($A147&gt;$B$6,0,Fwd_curves!J177))</f>
        <v>0</v>
      </c>
      <c r="D147" s="0" t="n">
        <f aca="false">IF($A147&lt;$B$5,0,IF($A147&gt;$B$6,0,Fwd_curves!K177))</f>
        <v>0</v>
      </c>
      <c r="E147" s="0" t="n">
        <f aca="false">IF($A147&lt;$B$5,0,IF($A147&gt;$B$6,0,Fwd_curves!L177))</f>
        <v>0</v>
      </c>
      <c r="F147" s="0" t="n">
        <f aca="false">IF($A147&lt;$B$5,0,IF($A147&gt;$B$6,0,Fwd_curves!M177))</f>
        <v>0</v>
      </c>
      <c r="G147" s="0" t="n">
        <f aca="false">IF($A147&lt;$B$5,0,IF($A147&gt;$B$6,0,Fwd_curves!N177))</f>
        <v>0</v>
      </c>
      <c r="H147" s="54" t="n">
        <f aca="false">IF($A147&lt;$B$5,0,IF($A147&gt;$B$6,0,Fwd_curves!O177))</f>
        <v>0</v>
      </c>
      <c r="I147" s="54" t="n">
        <f aca="false">IF($A147&lt;$B$5,0,IF($A147&gt;$B$6,0,Fwd_curves!P177))</f>
        <v>0</v>
      </c>
      <c r="J147" s="0" t="n">
        <f aca="false">IF($A147&lt;$B$5,0,IF($A147&gt;$B$6,0,Fwd_curves!Q177))</f>
        <v>0</v>
      </c>
      <c r="K147" s="0" t="n">
        <f aca="false">IF(B147=0,0,$B$9*B147)</f>
        <v>0</v>
      </c>
      <c r="L147" s="56" t="n">
        <f aca="false">external_curves!AB107</f>
        <v>22</v>
      </c>
      <c r="M147" s="56" t="n">
        <f aca="false">external_curves!AA107</f>
        <v>9</v>
      </c>
      <c r="N147" s="138" t="n">
        <f aca="false">(L147*16*$K147)</f>
        <v>0</v>
      </c>
      <c r="O147" s="138" t="n">
        <f aca="false">(L147*13*$K147)</f>
        <v>0</v>
      </c>
      <c r="P147" s="138" t="n">
        <f aca="false">(M147*24*$K147)</f>
        <v>0</v>
      </c>
      <c r="Q147" s="138" t="n">
        <f aca="false">((L147+M147)*K147)*24</f>
        <v>0</v>
      </c>
      <c r="R147" s="0" t="n">
        <f aca="false">L147*8*K147</f>
        <v>0</v>
      </c>
      <c r="T147" s="0" t="n">
        <f aca="false">IF(N147=0,0,$L147*16)*$B$9</f>
        <v>0</v>
      </c>
      <c r="U147" s="0" t="n">
        <f aca="false">IF(O147=0,0,$L147*13)*$B$9</f>
        <v>0</v>
      </c>
      <c r="V147" s="0" t="n">
        <f aca="false">IF(P147=0,0,$M147*24)*$B$9</f>
        <v>0</v>
      </c>
      <c r="W147" s="0" t="n">
        <f aca="false">IF(Q147=0,0,($L147+$M147)*24)*$B$9</f>
        <v>0</v>
      </c>
      <c r="X147" s="0" t="n">
        <f aca="false">IF(R147=0,0,$L147*8)*$B$9</f>
        <v>0</v>
      </c>
    </row>
    <row r="148" customFormat="false" ht="12.75" hidden="false" customHeight="false" outlineLevel="0" collapsed="false">
      <c r="A148" s="61" t="n">
        <f aca="false">Fwd_curves!A178</f>
        <v>39448</v>
      </c>
      <c r="B148" s="0" t="n">
        <f aca="false">IF($A148&lt;$B$5,0,IF($A148&gt;$B$6,0,Fwd_curves!H178))</f>
        <v>0</v>
      </c>
      <c r="C148" s="0" t="n">
        <f aca="false">IF($A148&lt;$B$5,0,IF($A148&gt;$B$6,0,Fwd_curves!J178))</f>
        <v>0</v>
      </c>
      <c r="D148" s="0" t="n">
        <f aca="false">IF($A148&lt;$B$5,0,IF($A148&gt;$B$6,0,Fwd_curves!K178))</f>
        <v>0</v>
      </c>
      <c r="E148" s="0" t="n">
        <f aca="false">IF($A148&lt;$B$5,0,IF($A148&gt;$B$6,0,Fwd_curves!L178))</f>
        <v>0</v>
      </c>
      <c r="F148" s="0" t="n">
        <f aca="false">IF($A148&lt;$B$5,0,IF($A148&gt;$B$6,0,Fwd_curves!M178))</f>
        <v>0</v>
      </c>
      <c r="G148" s="0" t="n">
        <f aca="false">IF($A148&lt;$B$5,0,IF($A148&gt;$B$6,0,Fwd_curves!N178))</f>
        <v>0</v>
      </c>
      <c r="H148" s="54" t="n">
        <f aca="false">IF($A148&lt;$B$5,0,IF($A148&gt;$B$6,0,Fwd_curves!O178))</f>
        <v>0</v>
      </c>
      <c r="I148" s="54" t="n">
        <f aca="false">IF($A148&lt;$B$5,0,IF($A148&gt;$B$6,0,Fwd_curves!P178))</f>
        <v>0</v>
      </c>
      <c r="J148" s="0" t="n">
        <f aca="false">IF($A148&lt;$B$5,0,IF($A148&gt;$B$6,0,Fwd_curves!Q178))</f>
        <v>0</v>
      </c>
      <c r="K148" s="0" t="n">
        <f aca="false">IF(B148=0,0,$B$9*B148)</f>
        <v>0</v>
      </c>
      <c r="L148" s="56" t="n">
        <f aca="false">external_curves!AB108</f>
        <v>21</v>
      </c>
      <c r="M148" s="56" t="n">
        <f aca="false">external_curves!AA108</f>
        <v>10</v>
      </c>
      <c r="N148" s="138" t="n">
        <f aca="false">(L148*16*$K148)</f>
        <v>0</v>
      </c>
      <c r="O148" s="138" t="n">
        <f aca="false">(L148*13*$K148)</f>
        <v>0</v>
      </c>
      <c r="P148" s="138" t="n">
        <f aca="false">(M148*24*$K148)</f>
        <v>0</v>
      </c>
      <c r="Q148" s="138" t="n">
        <f aca="false">((L148+M148)*K148)*24</f>
        <v>0</v>
      </c>
      <c r="R148" s="0" t="n">
        <f aca="false">L148*8*K148</f>
        <v>0</v>
      </c>
      <c r="T148" s="0" t="n">
        <f aca="false">IF(N148=0,0,$L148*16)*$B$9</f>
        <v>0</v>
      </c>
      <c r="U148" s="0" t="n">
        <f aca="false">IF(O148=0,0,$L148*13)*$B$9</f>
        <v>0</v>
      </c>
      <c r="V148" s="0" t="n">
        <f aca="false">IF(P148=0,0,$M148*24)*$B$9</f>
        <v>0</v>
      </c>
      <c r="W148" s="0" t="n">
        <f aca="false">IF(Q148=0,0,($L148+$M148)*24)*$B$9</f>
        <v>0</v>
      </c>
      <c r="X148" s="0" t="n">
        <f aca="false">IF(R148=0,0,$L148*8)*$B$9</f>
        <v>0</v>
      </c>
    </row>
    <row r="149" customFormat="false" ht="12.75" hidden="false" customHeight="false" outlineLevel="0" collapsed="false">
      <c r="A149" s="61" t="n">
        <f aca="false">Fwd_curves!A179</f>
        <v>39479</v>
      </c>
      <c r="B149" s="0" t="n">
        <f aca="false">IF($A149&lt;$B$5,0,IF($A149&gt;$B$6,0,Fwd_curves!H179))</f>
        <v>0</v>
      </c>
      <c r="C149" s="0" t="n">
        <f aca="false">IF($A149&lt;$B$5,0,IF($A149&gt;$B$6,0,Fwd_curves!J179))</f>
        <v>0</v>
      </c>
      <c r="D149" s="0" t="n">
        <f aca="false">IF($A149&lt;$B$5,0,IF($A149&gt;$B$6,0,Fwd_curves!K179))</f>
        <v>0</v>
      </c>
      <c r="E149" s="0" t="n">
        <f aca="false">IF($A149&lt;$B$5,0,IF($A149&gt;$B$6,0,Fwd_curves!L179))</f>
        <v>0</v>
      </c>
      <c r="F149" s="0" t="n">
        <f aca="false">IF($A149&lt;$B$5,0,IF($A149&gt;$B$6,0,Fwd_curves!M179))</f>
        <v>0</v>
      </c>
      <c r="G149" s="0" t="n">
        <f aca="false">IF($A149&lt;$B$5,0,IF($A149&gt;$B$6,0,Fwd_curves!N179))</f>
        <v>0</v>
      </c>
      <c r="H149" s="54" t="n">
        <f aca="false">IF($A149&lt;$B$5,0,IF($A149&gt;$B$6,0,Fwd_curves!O179))</f>
        <v>0</v>
      </c>
      <c r="I149" s="54" t="n">
        <f aca="false">IF($A149&lt;$B$5,0,IF($A149&gt;$B$6,0,Fwd_curves!P179))</f>
        <v>0</v>
      </c>
      <c r="J149" s="0" t="n">
        <f aca="false">IF($A149&lt;$B$5,0,IF($A149&gt;$B$6,0,Fwd_curves!Q179))</f>
        <v>0</v>
      </c>
      <c r="K149" s="0" t="n">
        <f aca="false">IF(B149=0,0,$B$9*B149)</f>
        <v>0</v>
      </c>
      <c r="L149" s="56" t="n">
        <f aca="false">external_curves!AB109</f>
        <v>20</v>
      </c>
      <c r="M149" s="56" t="n">
        <f aca="false">external_curves!AA109</f>
        <v>8</v>
      </c>
      <c r="N149" s="138" t="n">
        <f aca="false">(L149*16*$K149)</f>
        <v>0</v>
      </c>
      <c r="O149" s="138" t="n">
        <f aca="false">(L149*13*$K149)</f>
        <v>0</v>
      </c>
      <c r="P149" s="138" t="n">
        <f aca="false">(M149*24*$K149)</f>
        <v>0</v>
      </c>
      <c r="Q149" s="138" t="n">
        <f aca="false">((L149+M149)*K149)*24</f>
        <v>0</v>
      </c>
      <c r="R149" s="0" t="n">
        <f aca="false">L149*8*K149</f>
        <v>0</v>
      </c>
      <c r="T149" s="0" t="n">
        <f aca="false">IF(N149=0,0,$L149*16)*$B$9</f>
        <v>0</v>
      </c>
      <c r="U149" s="0" t="n">
        <f aca="false">IF(O149=0,0,$L149*13)*$B$9</f>
        <v>0</v>
      </c>
      <c r="V149" s="0" t="n">
        <f aca="false">IF(P149=0,0,$M149*24)*$B$9</f>
        <v>0</v>
      </c>
      <c r="W149" s="0" t="n">
        <f aca="false">IF(Q149=0,0,($L149+$M149)*24)*$B$9</f>
        <v>0</v>
      </c>
      <c r="X149" s="0" t="n">
        <f aca="false">IF(R149=0,0,$L149*8)*$B$9</f>
        <v>0</v>
      </c>
    </row>
    <row r="150" customFormat="false" ht="12.75" hidden="false" customHeight="false" outlineLevel="0" collapsed="false">
      <c r="A150" s="61" t="n">
        <f aca="false">Fwd_curves!A180</f>
        <v>39508</v>
      </c>
      <c r="B150" s="0" t="n">
        <f aca="false">IF($A150&lt;$B$5,0,IF($A150&gt;$B$6,0,Fwd_curves!H180))</f>
        <v>0</v>
      </c>
      <c r="C150" s="0" t="n">
        <f aca="false">IF($A150&lt;$B$5,0,IF($A150&gt;$B$6,0,Fwd_curves!J180))</f>
        <v>0</v>
      </c>
      <c r="D150" s="0" t="n">
        <f aca="false">IF($A150&lt;$B$5,0,IF($A150&gt;$B$6,0,Fwd_curves!K180))</f>
        <v>0</v>
      </c>
      <c r="E150" s="0" t="n">
        <f aca="false">IF($A150&lt;$B$5,0,IF($A150&gt;$B$6,0,Fwd_curves!L180))</f>
        <v>0</v>
      </c>
      <c r="F150" s="0" t="n">
        <f aca="false">IF($A150&lt;$B$5,0,IF($A150&gt;$B$6,0,Fwd_curves!M180))</f>
        <v>0</v>
      </c>
      <c r="G150" s="0" t="n">
        <f aca="false">IF($A150&lt;$B$5,0,IF($A150&gt;$B$6,0,Fwd_curves!N180))</f>
        <v>0</v>
      </c>
      <c r="H150" s="54" t="n">
        <f aca="false">IF($A150&lt;$B$5,0,IF($A150&gt;$B$6,0,Fwd_curves!O180))</f>
        <v>0</v>
      </c>
      <c r="I150" s="54" t="n">
        <f aca="false">IF($A150&lt;$B$5,0,IF($A150&gt;$B$6,0,Fwd_curves!P180))</f>
        <v>0</v>
      </c>
      <c r="J150" s="0" t="n">
        <f aca="false">IF($A150&lt;$B$5,0,IF($A150&gt;$B$6,0,Fwd_curves!Q180))</f>
        <v>0</v>
      </c>
      <c r="K150" s="0" t="n">
        <f aca="false">IF(B150=0,0,$B$9*B150)</f>
        <v>0</v>
      </c>
      <c r="L150" s="56" t="n">
        <f aca="false">external_curves!AB110</f>
        <v>23</v>
      </c>
      <c r="M150" s="56" t="n">
        <f aca="false">external_curves!AA110</f>
        <v>8</v>
      </c>
      <c r="N150" s="138" t="n">
        <f aca="false">(L150*16*$K150)</f>
        <v>0</v>
      </c>
      <c r="O150" s="138" t="n">
        <f aca="false">(L150*13*$K150)</f>
        <v>0</v>
      </c>
      <c r="P150" s="138" t="n">
        <f aca="false">(M150*24*$K150)</f>
        <v>0</v>
      </c>
      <c r="Q150" s="138" t="n">
        <f aca="false">((L150+M150)*K150)*24</f>
        <v>0</v>
      </c>
      <c r="R150" s="0" t="n">
        <f aca="false">L150*8*K150</f>
        <v>0</v>
      </c>
      <c r="T150" s="0" t="n">
        <f aca="false">IF(N150=0,0,$L150*16)*$B$9</f>
        <v>0</v>
      </c>
      <c r="U150" s="0" t="n">
        <f aca="false">IF(O150=0,0,$L150*13)*$B$9</f>
        <v>0</v>
      </c>
      <c r="V150" s="0" t="n">
        <f aca="false">IF(P150=0,0,$M150*24)*$B$9</f>
        <v>0</v>
      </c>
      <c r="W150" s="0" t="n">
        <f aca="false">IF(Q150=0,0,($L150+$M150)*24)*$B$9</f>
        <v>0</v>
      </c>
      <c r="X150" s="0" t="n">
        <f aca="false">IF(R150=0,0,$L150*8)*$B$9</f>
        <v>0</v>
      </c>
    </row>
    <row r="151" customFormat="false" ht="12.75" hidden="false" customHeight="false" outlineLevel="0" collapsed="false">
      <c r="A151" s="61" t="n">
        <f aca="false">Fwd_curves!A181</f>
        <v>39539</v>
      </c>
      <c r="B151" s="0" t="n">
        <f aca="false">IF($A151&lt;$B$5,0,IF($A151&gt;$B$6,0,Fwd_curves!H181))</f>
        <v>0</v>
      </c>
      <c r="C151" s="0" t="n">
        <f aca="false">IF($A151&lt;$B$5,0,IF($A151&gt;$B$6,0,Fwd_curves!J181))</f>
        <v>0</v>
      </c>
      <c r="D151" s="0" t="n">
        <f aca="false">IF($A151&lt;$B$5,0,IF($A151&gt;$B$6,0,Fwd_curves!K181))</f>
        <v>0</v>
      </c>
      <c r="E151" s="0" t="n">
        <f aca="false">IF($A151&lt;$B$5,0,IF($A151&gt;$B$6,0,Fwd_curves!L181))</f>
        <v>0</v>
      </c>
      <c r="F151" s="0" t="n">
        <f aca="false">IF($A151&lt;$B$5,0,IF($A151&gt;$B$6,0,Fwd_curves!M181))</f>
        <v>0</v>
      </c>
      <c r="G151" s="0" t="n">
        <f aca="false">IF($A151&lt;$B$5,0,IF($A151&gt;$B$6,0,Fwd_curves!N181))</f>
        <v>0</v>
      </c>
      <c r="H151" s="54" t="n">
        <f aca="false">IF($A151&lt;$B$5,0,IF($A151&gt;$B$6,0,Fwd_curves!O181))</f>
        <v>0</v>
      </c>
      <c r="I151" s="54" t="n">
        <f aca="false">IF($A151&lt;$B$5,0,IF($A151&gt;$B$6,0,Fwd_curves!P181))</f>
        <v>0</v>
      </c>
      <c r="J151" s="0" t="n">
        <f aca="false">IF($A151&lt;$B$5,0,IF($A151&gt;$B$6,0,Fwd_curves!Q181))</f>
        <v>0</v>
      </c>
      <c r="K151" s="0" t="n">
        <f aca="false">IF(B151=0,0,$B$9*B151)</f>
        <v>0</v>
      </c>
      <c r="L151" s="56" t="n">
        <f aca="false">external_curves!AB111</f>
        <v>21</v>
      </c>
      <c r="M151" s="56" t="n">
        <f aca="false">external_curves!AA111</f>
        <v>9</v>
      </c>
      <c r="N151" s="138" t="n">
        <f aca="false">(L151*16*$K151)</f>
        <v>0</v>
      </c>
      <c r="O151" s="138" t="n">
        <f aca="false">(L151*13*$K151)</f>
        <v>0</v>
      </c>
      <c r="P151" s="138" t="n">
        <f aca="false">(M151*24*$K151)</f>
        <v>0</v>
      </c>
      <c r="Q151" s="138" t="n">
        <f aca="false">((L151+M151)*K151)*24</f>
        <v>0</v>
      </c>
      <c r="R151" s="0" t="n">
        <f aca="false">L151*8*K151</f>
        <v>0</v>
      </c>
      <c r="T151" s="0" t="n">
        <f aca="false">IF(N151=0,0,$L151*16)*$B$9</f>
        <v>0</v>
      </c>
      <c r="U151" s="0" t="n">
        <f aca="false">IF(O151=0,0,$L151*13)*$B$9</f>
        <v>0</v>
      </c>
      <c r="V151" s="0" t="n">
        <f aca="false">IF(P151=0,0,$M151*24)*$B$9</f>
        <v>0</v>
      </c>
      <c r="W151" s="0" t="n">
        <f aca="false">IF(Q151=0,0,($L151+$M151)*24)*$B$9</f>
        <v>0</v>
      </c>
      <c r="X151" s="0" t="n">
        <f aca="false">IF(R151=0,0,$L151*8)*$B$9</f>
        <v>0</v>
      </c>
    </row>
    <row r="152" customFormat="false" ht="12.75" hidden="false" customHeight="false" outlineLevel="0" collapsed="false">
      <c r="A152" s="61" t="n">
        <f aca="false">Fwd_curves!A182</f>
        <v>39569</v>
      </c>
      <c r="B152" s="0" t="n">
        <f aca="false">IF($A152&lt;$B$5,0,IF($A152&gt;$B$6,0,Fwd_curves!H182))</f>
        <v>0</v>
      </c>
      <c r="C152" s="0" t="n">
        <f aca="false">IF($A152&lt;$B$5,0,IF($A152&gt;$B$6,0,Fwd_curves!J182))</f>
        <v>0</v>
      </c>
      <c r="D152" s="0" t="n">
        <f aca="false">IF($A152&lt;$B$5,0,IF($A152&gt;$B$6,0,Fwd_curves!K182))</f>
        <v>0</v>
      </c>
      <c r="E152" s="0" t="n">
        <f aca="false">IF($A152&lt;$B$5,0,IF($A152&gt;$B$6,0,Fwd_curves!L182))</f>
        <v>0</v>
      </c>
      <c r="F152" s="0" t="n">
        <f aca="false">IF($A152&lt;$B$5,0,IF($A152&gt;$B$6,0,Fwd_curves!M182))</f>
        <v>0</v>
      </c>
      <c r="G152" s="0" t="n">
        <f aca="false">IF($A152&lt;$B$5,0,IF($A152&gt;$B$6,0,Fwd_curves!N182))</f>
        <v>0</v>
      </c>
      <c r="H152" s="54" t="n">
        <f aca="false">IF($A152&lt;$B$5,0,IF($A152&gt;$B$6,0,Fwd_curves!O182))</f>
        <v>0</v>
      </c>
      <c r="I152" s="54" t="n">
        <f aca="false">IF($A152&lt;$B$5,0,IF($A152&gt;$B$6,0,Fwd_curves!P182))</f>
        <v>0</v>
      </c>
      <c r="J152" s="0" t="n">
        <f aca="false">IF($A152&lt;$B$5,0,IF($A152&gt;$B$6,0,Fwd_curves!Q182))</f>
        <v>0</v>
      </c>
      <c r="K152" s="0" t="n">
        <f aca="false">IF(B152=0,0,$B$9*B152)</f>
        <v>0</v>
      </c>
      <c r="L152" s="56" t="n">
        <f aca="false">external_curves!AB112</f>
        <v>22</v>
      </c>
      <c r="M152" s="56" t="n">
        <f aca="false">external_curves!AA112</f>
        <v>9</v>
      </c>
      <c r="N152" s="138" t="n">
        <f aca="false">(L152*16*$K152)</f>
        <v>0</v>
      </c>
      <c r="O152" s="138" t="n">
        <f aca="false">(L152*13*$K152)</f>
        <v>0</v>
      </c>
      <c r="P152" s="138" t="n">
        <f aca="false">(M152*24*$K152)</f>
        <v>0</v>
      </c>
      <c r="Q152" s="138" t="n">
        <f aca="false">((L152+M152)*K152)*24</f>
        <v>0</v>
      </c>
      <c r="R152" s="0" t="n">
        <f aca="false">L152*8*K152</f>
        <v>0</v>
      </c>
      <c r="T152" s="0" t="n">
        <f aca="false">IF(N152=0,0,$L152*16)*$B$9</f>
        <v>0</v>
      </c>
      <c r="U152" s="0" t="n">
        <f aca="false">IF(O152=0,0,$L152*13)*$B$9</f>
        <v>0</v>
      </c>
      <c r="V152" s="0" t="n">
        <f aca="false">IF(P152=0,0,$M152*24)*$B$9</f>
        <v>0</v>
      </c>
      <c r="W152" s="0" t="n">
        <f aca="false">IF(Q152=0,0,($L152+$M152)*24)*$B$9</f>
        <v>0</v>
      </c>
      <c r="X152" s="0" t="n">
        <f aca="false">IF(R152=0,0,$L152*8)*$B$9</f>
        <v>0</v>
      </c>
    </row>
    <row r="153" customFormat="false" ht="12.75" hidden="false" customHeight="false" outlineLevel="0" collapsed="false">
      <c r="A153" s="61" t="n">
        <f aca="false">Fwd_curves!A183</f>
        <v>39600</v>
      </c>
      <c r="B153" s="0" t="n">
        <f aca="false">IF($A153&lt;$B$5,0,IF($A153&gt;$B$6,0,Fwd_curves!H183))</f>
        <v>0</v>
      </c>
      <c r="C153" s="0" t="n">
        <f aca="false">IF($A153&lt;$B$5,0,IF($A153&gt;$B$6,0,Fwd_curves!J183))</f>
        <v>0</v>
      </c>
      <c r="D153" s="0" t="n">
        <f aca="false">IF($A153&lt;$B$5,0,IF($A153&gt;$B$6,0,Fwd_curves!K183))</f>
        <v>0</v>
      </c>
      <c r="E153" s="0" t="n">
        <f aca="false">IF($A153&lt;$B$5,0,IF($A153&gt;$B$6,0,Fwd_curves!L183))</f>
        <v>0</v>
      </c>
      <c r="F153" s="0" t="n">
        <f aca="false">IF($A153&lt;$B$5,0,IF($A153&gt;$B$6,0,Fwd_curves!M183))</f>
        <v>0</v>
      </c>
      <c r="G153" s="0" t="n">
        <f aca="false">IF($A153&lt;$B$5,0,IF($A153&gt;$B$6,0,Fwd_curves!N183))</f>
        <v>0</v>
      </c>
      <c r="H153" s="54" t="n">
        <f aca="false">IF($A153&lt;$B$5,0,IF($A153&gt;$B$6,0,Fwd_curves!O183))</f>
        <v>0</v>
      </c>
      <c r="I153" s="54" t="n">
        <f aca="false">IF($A153&lt;$B$5,0,IF($A153&gt;$B$6,0,Fwd_curves!P183))</f>
        <v>0</v>
      </c>
      <c r="J153" s="0" t="n">
        <f aca="false">IF($A153&lt;$B$5,0,IF($A153&gt;$B$6,0,Fwd_curves!Q183))</f>
        <v>0</v>
      </c>
      <c r="K153" s="0" t="n">
        <f aca="false">IF(B153=0,0,$B$9*B153)</f>
        <v>0</v>
      </c>
      <c r="L153" s="56" t="n">
        <f aca="false">external_curves!AB113</f>
        <v>22</v>
      </c>
      <c r="M153" s="56" t="n">
        <f aca="false">external_curves!AA113</f>
        <v>8</v>
      </c>
      <c r="N153" s="138" t="n">
        <f aca="false">(L153*16*$K153)</f>
        <v>0</v>
      </c>
      <c r="O153" s="138" t="n">
        <f aca="false">(L153*13*$K153)</f>
        <v>0</v>
      </c>
      <c r="P153" s="138" t="n">
        <f aca="false">(M153*24*$K153)</f>
        <v>0</v>
      </c>
      <c r="Q153" s="138" t="n">
        <f aca="false">((L153+M153)*K153)*24</f>
        <v>0</v>
      </c>
      <c r="R153" s="0" t="n">
        <f aca="false">L153*8*K153</f>
        <v>0</v>
      </c>
      <c r="T153" s="0" t="n">
        <f aca="false">IF(N153=0,0,$L153*16)*$B$9</f>
        <v>0</v>
      </c>
      <c r="U153" s="0" t="n">
        <f aca="false">IF(O153=0,0,$L153*13)*$B$9</f>
        <v>0</v>
      </c>
      <c r="V153" s="0" t="n">
        <f aca="false">IF(P153=0,0,$M153*24)*$B$9</f>
        <v>0</v>
      </c>
      <c r="W153" s="0" t="n">
        <f aca="false">IF(Q153=0,0,($L153+$M153)*24)*$B$9</f>
        <v>0</v>
      </c>
      <c r="X153" s="0" t="n">
        <f aca="false">IF(R153=0,0,$L153*8)*$B$9</f>
        <v>0</v>
      </c>
    </row>
    <row r="154" customFormat="false" ht="12.75" hidden="false" customHeight="false" outlineLevel="0" collapsed="false">
      <c r="A154" s="61" t="n">
        <f aca="false">Fwd_curves!A184</f>
        <v>39630</v>
      </c>
      <c r="B154" s="0" t="n">
        <f aca="false">IF($A154&lt;$B$5,0,IF($A154&gt;$B$6,0,Fwd_curves!H184))</f>
        <v>0</v>
      </c>
      <c r="C154" s="0" t="n">
        <f aca="false">IF($A154&lt;$B$5,0,IF($A154&gt;$B$6,0,Fwd_curves!J184))</f>
        <v>0</v>
      </c>
      <c r="D154" s="0" t="n">
        <f aca="false">IF($A154&lt;$B$5,0,IF($A154&gt;$B$6,0,Fwd_curves!K184))</f>
        <v>0</v>
      </c>
      <c r="E154" s="0" t="n">
        <f aca="false">IF($A154&lt;$B$5,0,IF($A154&gt;$B$6,0,Fwd_curves!L184))</f>
        <v>0</v>
      </c>
      <c r="F154" s="0" t="n">
        <f aca="false">IF($A154&lt;$B$5,0,IF($A154&gt;$B$6,0,Fwd_curves!M184))</f>
        <v>0</v>
      </c>
      <c r="G154" s="0" t="n">
        <f aca="false">IF($A154&lt;$B$5,0,IF($A154&gt;$B$6,0,Fwd_curves!N184))</f>
        <v>0</v>
      </c>
      <c r="H154" s="54" t="n">
        <f aca="false">IF($A154&lt;$B$5,0,IF($A154&gt;$B$6,0,Fwd_curves!O184))</f>
        <v>0</v>
      </c>
      <c r="I154" s="54" t="n">
        <f aca="false">IF($A154&lt;$B$5,0,IF($A154&gt;$B$6,0,Fwd_curves!P184))</f>
        <v>0</v>
      </c>
      <c r="J154" s="0" t="n">
        <f aca="false">IF($A154&lt;$B$5,0,IF($A154&gt;$B$6,0,Fwd_curves!Q184))</f>
        <v>0</v>
      </c>
      <c r="K154" s="0" t="n">
        <f aca="false">IF(B154=0,0,$B$9*B154)</f>
        <v>0</v>
      </c>
      <c r="L154" s="56" t="n">
        <f aca="false">external_curves!AB114</f>
        <v>21</v>
      </c>
      <c r="M154" s="56" t="n">
        <f aca="false">external_curves!AA114</f>
        <v>10</v>
      </c>
      <c r="N154" s="138" t="n">
        <f aca="false">(L154*16*$K154)</f>
        <v>0</v>
      </c>
      <c r="O154" s="138" t="n">
        <f aca="false">(L154*13*$K154)</f>
        <v>0</v>
      </c>
      <c r="P154" s="138" t="n">
        <f aca="false">(M154*24*$K154)</f>
        <v>0</v>
      </c>
      <c r="Q154" s="138" t="n">
        <f aca="false">((L154+M154)*K154)*24</f>
        <v>0</v>
      </c>
      <c r="R154" s="0" t="n">
        <f aca="false">L154*8*K154</f>
        <v>0</v>
      </c>
      <c r="T154" s="0" t="n">
        <f aca="false">IF(N154=0,0,$L154*16)*$B$9</f>
        <v>0</v>
      </c>
      <c r="U154" s="0" t="n">
        <f aca="false">IF(O154=0,0,$L154*13)*$B$9</f>
        <v>0</v>
      </c>
      <c r="V154" s="0" t="n">
        <f aca="false">IF(P154=0,0,$M154*24)*$B$9</f>
        <v>0</v>
      </c>
      <c r="W154" s="0" t="n">
        <f aca="false">IF(Q154=0,0,($L154+$M154)*24)*$B$9</f>
        <v>0</v>
      </c>
      <c r="X154" s="0" t="n">
        <f aca="false">IF(R154=0,0,$L154*8)*$B$9</f>
        <v>0</v>
      </c>
    </row>
    <row r="155" customFormat="false" ht="12.75" hidden="false" customHeight="false" outlineLevel="0" collapsed="false">
      <c r="A155" s="61" t="n">
        <f aca="false">Fwd_curves!A185</f>
        <v>39661</v>
      </c>
      <c r="B155" s="0" t="n">
        <f aca="false">IF($A155&lt;$B$5,0,IF($A155&gt;$B$6,0,Fwd_curves!H185))</f>
        <v>0</v>
      </c>
      <c r="C155" s="0" t="n">
        <f aca="false">IF($A155&lt;$B$5,0,IF($A155&gt;$B$6,0,Fwd_curves!J185))</f>
        <v>0</v>
      </c>
      <c r="D155" s="0" t="n">
        <f aca="false">IF($A155&lt;$B$5,0,IF($A155&gt;$B$6,0,Fwd_curves!K185))</f>
        <v>0</v>
      </c>
      <c r="E155" s="0" t="n">
        <f aca="false">IF($A155&lt;$B$5,0,IF($A155&gt;$B$6,0,Fwd_curves!L185))</f>
        <v>0</v>
      </c>
      <c r="F155" s="0" t="n">
        <f aca="false">IF($A155&lt;$B$5,0,IF($A155&gt;$B$6,0,Fwd_curves!M185))</f>
        <v>0</v>
      </c>
      <c r="G155" s="0" t="n">
        <f aca="false">IF($A155&lt;$B$5,0,IF($A155&gt;$B$6,0,Fwd_curves!N185))</f>
        <v>0</v>
      </c>
      <c r="H155" s="54" t="n">
        <f aca="false">IF($A155&lt;$B$5,0,IF($A155&gt;$B$6,0,Fwd_curves!O185))</f>
        <v>0</v>
      </c>
      <c r="I155" s="54" t="n">
        <f aca="false">IF($A155&lt;$B$5,0,IF($A155&gt;$B$6,0,Fwd_curves!P185))</f>
        <v>0</v>
      </c>
      <c r="J155" s="0" t="n">
        <f aca="false">IF($A155&lt;$B$5,0,IF($A155&gt;$B$6,0,Fwd_curves!Q185))</f>
        <v>0</v>
      </c>
      <c r="K155" s="0" t="n">
        <f aca="false">IF(B155=0,0,$B$9*B155)</f>
        <v>0</v>
      </c>
      <c r="L155" s="56" t="n">
        <f aca="false">external_curves!AB115</f>
        <v>23</v>
      </c>
      <c r="M155" s="56" t="n">
        <f aca="false">external_curves!AA115</f>
        <v>8</v>
      </c>
      <c r="N155" s="138" t="n">
        <f aca="false">(L155*16*$K155)</f>
        <v>0</v>
      </c>
      <c r="O155" s="138" t="n">
        <f aca="false">(L155*13*$K155)</f>
        <v>0</v>
      </c>
      <c r="P155" s="138" t="n">
        <f aca="false">(M155*24*$K155)</f>
        <v>0</v>
      </c>
      <c r="Q155" s="138" t="n">
        <f aca="false">((L155+M155)*K155)*24</f>
        <v>0</v>
      </c>
      <c r="R155" s="0" t="n">
        <f aca="false">L155*8*K155</f>
        <v>0</v>
      </c>
      <c r="T155" s="0" t="n">
        <f aca="false">IF(N155=0,0,$L155*16)*$B$9</f>
        <v>0</v>
      </c>
      <c r="U155" s="0" t="n">
        <f aca="false">IF(O155=0,0,$L155*13)*$B$9</f>
        <v>0</v>
      </c>
      <c r="V155" s="0" t="n">
        <f aca="false">IF(P155=0,0,$M155*24)*$B$9</f>
        <v>0</v>
      </c>
      <c r="W155" s="0" t="n">
        <f aca="false">IF(Q155=0,0,($L155+$M155)*24)*$B$9</f>
        <v>0</v>
      </c>
      <c r="X155" s="0" t="n">
        <f aca="false">IF(R155=0,0,$L155*8)*$B$9</f>
        <v>0</v>
      </c>
    </row>
    <row r="156" customFormat="false" ht="12.75" hidden="false" customHeight="false" outlineLevel="0" collapsed="false">
      <c r="A156" s="61" t="n">
        <f aca="false">Fwd_curves!A186</f>
        <v>39692</v>
      </c>
      <c r="B156" s="0" t="n">
        <f aca="false">IF($A156&lt;$B$5,0,IF($A156&gt;$B$6,0,Fwd_curves!H186))</f>
        <v>0</v>
      </c>
      <c r="C156" s="0" t="n">
        <f aca="false">IF($A156&lt;$B$5,0,IF($A156&gt;$B$6,0,Fwd_curves!J186))</f>
        <v>0</v>
      </c>
      <c r="D156" s="0" t="n">
        <f aca="false">IF($A156&lt;$B$5,0,IF($A156&gt;$B$6,0,Fwd_curves!K186))</f>
        <v>0</v>
      </c>
      <c r="E156" s="0" t="n">
        <f aca="false">IF($A156&lt;$B$5,0,IF($A156&gt;$B$6,0,Fwd_curves!L186))</f>
        <v>0</v>
      </c>
      <c r="F156" s="0" t="n">
        <f aca="false">IF($A156&lt;$B$5,0,IF($A156&gt;$B$6,0,Fwd_curves!M186))</f>
        <v>0</v>
      </c>
      <c r="G156" s="0" t="n">
        <f aca="false">IF($A156&lt;$B$5,0,IF($A156&gt;$B$6,0,Fwd_curves!N186))</f>
        <v>0</v>
      </c>
      <c r="H156" s="54" t="n">
        <f aca="false">IF($A156&lt;$B$5,0,IF($A156&gt;$B$6,0,Fwd_curves!O186))</f>
        <v>0</v>
      </c>
      <c r="I156" s="54" t="n">
        <f aca="false">IF($A156&lt;$B$5,0,IF($A156&gt;$B$6,0,Fwd_curves!P186))</f>
        <v>0</v>
      </c>
      <c r="J156" s="0" t="n">
        <f aca="false">IF($A156&lt;$B$5,0,IF($A156&gt;$B$6,0,Fwd_curves!Q186))</f>
        <v>0</v>
      </c>
      <c r="K156" s="0" t="n">
        <f aca="false">IF(B156=0,0,$B$9*B156)</f>
        <v>0</v>
      </c>
      <c r="L156" s="56" t="n">
        <f aca="false">external_curves!AB116</f>
        <v>22</v>
      </c>
      <c r="M156" s="56" t="n">
        <f aca="false">external_curves!AA116</f>
        <v>8</v>
      </c>
      <c r="N156" s="138" t="n">
        <f aca="false">(L156*16*$K156)</f>
        <v>0</v>
      </c>
      <c r="O156" s="138" t="n">
        <f aca="false">(L156*13*$K156)</f>
        <v>0</v>
      </c>
      <c r="P156" s="138" t="n">
        <f aca="false">(M156*24*$K156)</f>
        <v>0</v>
      </c>
      <c r="Q156" s="138" t="n">
        <f aca="false">((L156+M156)*K156)*24</f>
        <v>0</v>
      </c>
      <c r="R156" s="0" t="n">
        <f aca="false">L156*8*K156</f>
        <v>0</v>
      </c>
      <c r="T156" s="0" t="n">
        <f aca="false">IF(N156=0,0,$L156*16)*$B$9</f>
        <v>0</v>
      </c>
      <c r="U156" s="0" t="n">
        <f aca="false">IF(O156=0,0,$L156*13)*$B$9</f>
        <v>0</v>
      </c>
      <c r="V156" s="0" t="n">
        <f aca="false">IF(P156=0,0,$M156*24)*$B$9</f>
        <v>0</v>
      </c>
      <c r="W156" s="0" t="n">
        <f aca="false">IF(Q156=0,0,($L156+$M156)*24)*$B$9</f>
        <v>0</v>
      </c>
      <c r="X156" s="0" t="n">
        <f aca="false">IF(R156=0,0,$L156*8)*$B$9</f>
        <v>0</v>
      </c>
    </row>
    <row r="157" customFormat="false" ht="12.75" hidden="false" customHeight="false" outlineLevel="0" collapsed="false">
      <c r="A157" s="61" t="n">
        <f aca="false">Fwd_curves!A187</f>
        <v>39722</v>
      </c>
      <c r="B157" s="0" t="n">
        <f aca="false">IF($A157&lt;$B$5,0,IF($A157&gt;$B$6,0,Fwd_curves!H187))</f>
        <v>0</v>
      </c>
      <c r="C157" s="0" t="n">
        <f aca="false">IF($A157&lt;$B$5,0,IF($A157&gt;$B$6,0,Fwd_curves!J187))</f>
        <v>0</v>
      </c>
      <c r="D157" s="0" t="n">
        <f aca="false">IF($A157&lt;$B$5,0,IF($A157&gt;$B$6,0,Fwd_curves!K187))</f>
        <v>0</v>
      </c>
      <c r="E157" s="0" t="n">
        <f aca="false">IF($A157&lt;$B$5,0,IF($A157&gt;$B$6,0,Fwd_curves!L187))</f>
        <v>0</v>
      </c>
      <c r="F157" s="0" t="n">
        <f aca="false">IF($A157&lt;$B$5,0,IF($A157&gt;$B$6,0,Fwd_curves!M187))</f>
        <v>0</v>
      </c>
      <c r="G157" s="0" t="n">
        <f aca="false">IF($A157&lt;$B$5,0,IF($A157&gt;$B$6,0,Fwd_curves!N187))</f>
        <v>0</v>
      </c>
      <c r="H157" s="54" t="n">
        <f aca="false">IF($A157&lt;$B$5,0,IF($A157&gt;$B$6,0,Fwd_curves!O187))</f>
        <v>0</v>
      </c>
      <c r="I157" s="54" t="n">
        <f aca="false">IF($A157&lt;$B$5,0,IF($A157&gt;$B$6,0,Fwd_curves!P187))</f>
        <v>0</v>
      </c>
      <c r="J157" s="0" t="n">
        <f aca="false">IF($A157&lt;$B$5,0,IF($A157&gt;$B$6,0,Fwd_curves!Q187))</f>
        <v>0</v>
      </c>
      <c r="K157" s="0" t="n">
        <f aca="false">IF(B157=0,0,$B$9*B157)</f>
        <v>0</v>
      </c>
      <c r="L157" s="56" t="n">
        <f aca="false">external_curves!AB117</f>
        <v>21</v>
      </c>
      <c r="M157" s="56" t="n">
        <f aca="false">external_curves!AA117</f>
        <v>10</v>
      </c>
      <c r="N157" s="138" t="n">
        <f aca="false">(L157*16*$K157)</f>
        <v>0</v>
      </c>
      <c r="O157" s="138" t="n">
        <f aca="false">(L157*13*$K157)</f>
        <v>0</v>
      </c>
      <c r="P157" s="138" t="n">
        <f aca="false">(M157*24*$K157)</f>
        <v>0</v>
      </c>
      <c r="Q157" s="138" t="n">
        <f aca="false">((L157+M157)*K157)*24</f>
        <v>0</v>
      </c>
      <c r="R157" s="0" t="n">
        <f aca="false">L157*8*K157</f>
        <v>0</v>
      </c>
      <c r="T157" s="0" t="n">
        <f aca="false">IF(N157=0,0,$L157*16)*$B$9</f>
        <v>0</v>
      </c>
      <c r="U157" s="0" t="n">
        <f aca="false">IF(O157=0,0,$L157*13)*$B$9</f>
        <v>0</v>
      </c>
      <c r="V157" s="0" t="n">
        <f aca="false">IF(P157=0,0,$M157*24)*$B$9</f>
        <v>0</v>
      </c>
      <c r="W157" s="0" t="n">
        <f aca="false">IF(Q157=0,0,($L157+$M157)*24)*$B$9</f>
        <v>0</v>
      </c>
      <c r="X157" s="0" t="n">
        <f aca="false">IF(R157=0,0,$L157*8)*$B$9</f>
        <v>0</v>
      </c>
    </row>
    <row r="158" customFormat="false" ht="12.75" hidden="false" customHeight="false" outlineLevel="0" collapsed="false">
      <c r="A158" s="61" t="n">
        <f aca="false">Fwd_curves!A188</f>
        <v>39753</v>
      </c>
      <c r="B158" s="0" t="n">
        <f aca="false">IF($A158&lt;$B$5,0,IF($A158&gt;$B$6,0,Fwd_curves!H188))</f>
        <v>0</v>
      </c>
      <c r="C158" s="0" t="n">
        <f aca="false">IF($A158&lt;$B$5,0,IF($A158&gt;$B$6,0,Fwd_curves!J188))</f>
        <v>0</v>
      </c>
      <c r="D158" s="0" t="n">
        <f aca="false">IF($A158&lt;$B$5,0,IF($A158&gt;$B$6,0,Fwd_curves!K188))</f>
        <v>0</v>
      </c>
      <c r="E158" s="0" t="n">
        <f aca="false">IF($A158&lt;$B$5,0,IF($A158&gt;$B$6,0,Fwd_curves!L188))</f>
        <v>0</v>
      </c>
      <c r="F158" s="0" t="n">
        <f aca="false">IF($A158&lt;$B$5,0,IF($A158&gt;$B$6,0,Fwd_curves!M188))</f>
        <v>0</v>
      </c>
      <c r="G158" s="0" t="n">
        <f aca="false">IF($A158&lt;$B$5,0,IF($A158&gt;$B$6,0,Fwd_curves!N188))</f>
        <v>0</v>
      </c>
      <c r="H158" s="54" t="n">
        <f aca="false">IF($A158&lt;$B$5,0,IF($A158&gt;$B$6,0,Fwd_curves!O188))</f>
        <v>0</v>
      </c>
      <c r="I158" s="54" t="n">
        <f aca="false">IF($A158&lt;$B$5,0,IF($A158&gt;$B$6,0,Fwd_curves!P188))</f>
        <v>0</v>
      </c>
      <c r="J158" s="0" t="n">
        <f aca="false">IF($A158&lt;$B$5,0,IF($A158&gt;$B$6,0,Fwd_curves!Q188))</f>
        <v>0</v>
      </c>
      <c r="K158" s="0" t="n">
        <f aca="false">IF(B158=0,0,$B$9*B158)</f>
        <v>0</v>
      </c>
      <c r="L158" s="56" t="n">
        <f aca="false">external_curves!AB118</f>
        <v>22</v>
      </c>
      <c r="M158" s="56" t="n">
        <f aca="false">external_curves!AA118</f>
        <v>8</v>
      </c>
      <c r="N158" s="138" t="n">
        <f aca="false">(L158*16*$K158)</f>
        <v>0</v>
      </c>
      <c r="O158" s="138" t="n">
        <f aca="false">(L158*13*$K158)</f>
        <v>0</v>
      </c>
      <c r="P158" s="138" t="n">
        <f aca="false">(M158*24*$K158)</f>
        <v>0</v>
      </c>
      <c r="Q158" s="138" t="n">
        <f aca="false">((L158+M158)*K158)*24</f>
        <v>0</v>
      </c>
      <c r="R158" s="0" t="n">
        <f aca="false">L158*8*K158</f>
        <v>0</v>
      </c>
      <c r="T158" s="0" t="n">
        <f aca="false">IF(N158=0,0,$L158*16)*$B$9</f>
        <v>0</v>
      </c>
      <c r="U158" s="0" t="n">
        <f aca="false">IF(O158=0,0,$L158*13)*$B$9</f>
        <v>0</v>
      </c>
      <c r="V158" s="0" t="n">
        <f aca="false">IF(P158=0,0,$M158*24)*$B$9</f>
        <v>0</v>
      </c>
      <c r="W158" s="0" t="n">
        <f aca="false">IF(Q158=0,0,($L158+$M158)*24)*$B$9</f>
        <v>0</v>
      </c>
      <c r="X158" s="0" t="n">
        <f aca="false">IF(R158=0,0,$L158*8)*$B$9</f>
        <v>0</v>
      </c>
    </row>
    <row r="159" customFormat="false" ht="12.75" hidden="false" customHeight="false" outlineLevel="0" collapsed="false">
      <c r="A159" s="61" t="n">
        <f aca="false">Fwd_curves!A189</f>
        <v>39783</v>
      </c>
      <c r="B159" s="0" t="n">
        <f aca="false">IF($A159&lt;$B$5,0,IF($A159&gt;$B$6,0,Fwd_curves!H189))</f>
        <v>0</v>
      </c>
      <c r="C159" s="0" t="n">
        <f aca="false">IF($A159&lt;$B$5,0,IF($A159&gt;$B$6,0,Fwd_curves!J189))</f>
        <v>0</v>
      </c>
      <c r="D159" s="0" t="n">
        <f aca="false">IF($A159&lt;$B$5,0,IF($A159&gt;$B$6,0,Fwd_curves!K189))</f>
        <v>0</v>
      </c>
      <c r="E159" s="0" t="n">
        <f aca="false">IF($A159&lt;$B$5,0,IF($A159&gt;$B$6,0,Fwd_curves!L189))</f>
        <v>0</v>
      </c>
      <c r="F159" s="0" t="n">
        <f aca="false">IF($A159&lt;$B$5,0,IF($A159&gt;$B$6,0,Fwd_curves!M189))</f>
        <v>0</v>
      </c>
      <c r="G159" s="0" t="n">
        <f aca="false">IF($A159&lt;$B$5,0,IF($A159&gt;$B$6,0,Fwd_curves!N189))</f>
        <v>0</v>
      </c>
      <c r="H159" s="54" t="n">
        <f aca="false">IF($A159&lt;$B$5,0,IF($A159&gt;$B$6,0,Fwd_curves!O189))</f>
        <v>0</v>
      </c>
      <c r="I159" s="54" t="n">
        <f aca="false">IF($A159&lt;$B$5,0,IF($A159&gt;$B$6,0,Fwd_curves!P189))</f>
        <v>0</v>
      </c>
      <c r="J159" s="0" t="n">
        <f aca="false">IF($A159&lt;$B$5,0,IF($A159&gt;$B$6,0,Fwd_curves!Q189))</f>
        <v>0</v>
      </c>
      <c r="K159" s="0" t="n">
        <f aca="false">IF(B159=0,0,$B$9*B159)</f>
        <v>0</v>
      </c>
      <c r="L159" s="56" t="n">
        <f aca="false">external_curves!AB119</f>
        <v>22</v>
      </c>
      <c r="M159" s="56" t="n">
        <f aca="false">external_curves!AA119</f>
        <v>9</v>
      </c>
      <c r="N159" s="138" t="n">
        <f aca="false">(L159*16*$K159)</f>
        <v>0</v>
      </c>
      <c r="O159" s="138" t="n">
        <f aca="false">(L159*13*$K159)</f>
        <v>0</v>
      </c>
      <c r="P159" s="138" t="n">
        <f aca="false">(M159*24*$K159)</f>
        <v>0</v>
      </c>
      <c r="Q159" s="138" t="n">
        <f aca="false">((L159+M159)*K159)*24</f>
        <v>0</v>
      </c>
      <c r="R159" s="0" t="n">
        <f aca="false">L159*8*K159</f>
        <v>0</v>
      </c>
      <c r="T159" s="0" t="n">
        <f aca="false">IF(N159=0,0,$L159*16)*$B$9</f>
        <v>0</v>
      </c>
      <c r="U159" s="0" t="n">
        <f aca="false">IF(O159=0,0,$L159*13)*$B$9</f>
        <v>0</v>
      </c>
      <c r="V159" s="0" t="n">
        <f aca="false">IF(P159=0,0,$M159*24)*$B$9</f>
        <v>0</v>
      </c>
      <c r="W159" s="0" t="n">
        <f aca="false">IF(Q159=0,0,($L159+$M159)*24)*$B$9</f>
        <v>0</v>
      </c>
      <c r="X159" s="0" t="n">
        <f aca="false">IF(R159=0,0,$L159*8)*$B$9</f>
        <v>0</v>
      </c>
    </row>
    <row r="160" customFormat="false" ht="12.75" hidden="false" customHeight="false" outlineLevel="0" collapsed="false">
      <c r="A160" s="61" t="n">
        <f aca="false">Fwd_curves!A190</f>
        <v>39814</v>
      </c>
      <c r="B160" s="0" t="n">
        <f aca="false">IF($A160&lt;$B$5,0,IF($A160&gt;$B$6,0,Fwd_curves!H190))</f>
        <v>0</v>
      </c>
      <c r="C160" s="0" t="n">
        <f aca="false">IF($A160&lt;$B$5,0,IF($A160&gt;$B$6,0,Fwd_curves!J190))</f>
        <v>0</v>
      </c>
      <c r="D160" s="0" t="n">
        <f aca="false">IF($A160&lt;$B$5,0,IF($A160&gt;$B$6,0,Fwd_curves!K190))</f>
        <v>0</v>
      </c>
      <c r="E160" s="0" t="n">
        <f aca="false">IF($A160&lt;$B$5,0,IF($A160&gt;$B$6,0,Fwd_curves!L190))</f>
        <v>0</v>
      </c>
      <c r="F160" s="0" t="n">
        <f aca="false">IF($A160&lt;$B$5,0,IF($A160&gt;$B$6,0,Fwd_curves!M190))</f>
        <v>0</v>
      </c>
      <c r="G160" s="0" t="n">
        <f aca="false">IF($A160&lt;$B$5,0,IF($A160&gt;$B$6,0,Fwd_curves!N190))</f>
        <v>0</v>
      </c>
      <c r="H160" s="54" t="n">
        <f aca="false">IF($A160&lt;$B$5,0,IF($A160&gt;$B$6,0,Fwd_curves!O190))</f>
        <v>0</v>
      </c>
      <c r="I160" s="54" t="n">
        <f aca="false">IF($A160&lt;$B$5,0,IF($A160&gt;$B$6,0,Fwd_curves!P190))</f>
        <v>0</v>
      </c>
      <c r="J160" s="0" t="n">
        <f aca="false">IF($A160&lt;$B$5,0,IF($A160&gt;$B$6,0,Fwd_curves!Q190))</f>
        <v>0</v>
      </c>
      <c r="K160" s="0" t="n">
        <f aca="false">IF(B160=0,0,$B$9*B160)</f>
        <v>0</v>
      </c>
      <c r="L160" s="56" t="n">
        <f aca="false">external_curves!AB120</f>
        <v>21</v>
      </c>
      <c r="M160" s="56" t="n">
        <f aca="false">external_curves!AA120</f>
        <v>10</v>
      </c>
      <c r="N160" s="138" t="n">
        <f aca="false">(L160*16*$K160)</f>
        <v>0</v>
      </c>
      <c r="O160" s="138" t="n">
        <f aca="false">(L160*13*$K160)</f>
        <v>0</v>
      </c>
      <c r="P160" s="138" t="n">
        <f aca="false">(M160*24*$K160)</f>
        <v>0</v>
      </c>
      <c r="Q160" s="138" t="n">
        <f aca="false">((L160+M160)*K160)*24</f>
        <v>0</v>
      </c>
      <c r="R160" s="0" t="n">
        <f aca="false">L160*8*K160</f>
        <v>0</v>
      </c>
      <c r="T160" s="0" t="n">
        <f aca="false">IF(N160=0,0,$L160*16)*$B$9</f>
        <v>0</v>
      </c>
      <c r="U160" s="0" t="n">
        <f aca="false">IF(O160=0,0,$L160*13)*$B$9</f>
        <v>0</v>
      </c>
      <c r="V160" s="0" t="n">
        <f aca="false">IF(P160=0,0,$M160*24)*$B$9</f>
        <v>0</v>
      </c>
      <c r="W160" s="0" t="n">
        <f aca="false">IF(Q160=0,0,($L160+$M160)*24)*$B$9</f>
        <v>0</v>
      </c>
      <c r="X160" s="0" t="n">
        <f aca="false">IF(R160=0,0,$L160*8)*$B$9</f>
        <v>0</v>
      </c>
    </row>
    <row r="161" customFormat="false" ht="12.75" hidden="false" customHeight="false" outlineLevel="0" collapsed="false">
      <c r="A161" s="61" t="n">
        <f aca="false">Fwd_curves!A191</f>
        <v>39845</v>
      </c>
      <c r="B161" s="0" t="n">
        <f aca="false">IF($A161&lt;$B$5,0,IF($A161&gt;$B$6,0,Fwd_curves!H191))</f>
        <v>0</v>
      </c>
      <c r="C161" s="0" t="n">
        <f aca="false">IF($A161&lt;$B$5,0,IF($A161&gt;$B$6,0,Fwd_curves!J191))</f>
        <v>0</v>
      </c>
      <c r="D161" s="0" t="n">
        <f aca="false">IF($A161&lt;$B$5,0,IF($A161&gt;$B$6,0,Fwd_curves!K191))</f>
        <v>0</v>
      </c>
      <c r="E161" s="0" t="n">
        <f aca="false">IF($A161&lt;$B$5,0,IF($A161&gt;$B$6,0,Fwd_curves!L191))</f>
        <v>0</v>
      </c>
      <c r="F161" s="0" t="n">
        <f aca="false">IF($A161&lt;$B$5,0,IF($A161&gt;$B$6,0,Fwd_curves!M191))</f>
        <v>0</v>
      </c>
      <c r="G161" s="0" t="n">
        <f aca="false">IF($A161&lt;$B$5,0,IF($A161&gt;$B$6,0,Fwd_curves!N191))</f>
        <v>0</v>
      </c>
      <c r="H161" s="54" t="n">
        <f aca="false">IF($A161&lt;$B$5,0,IF($A161&gt;$B$6,0,Fwd_curves!O191))</f>
        <v>0</v>
      </c>
      <c r="I161" s="54" t="n">
        <f aca="false">IF($A161&lt;$B$5,0,IF($A161&gt;$B$6,0,Fwd_curves!P191))</f>
        <v>0</v>
      </c>
      <c r="J161" s="0" t="n">
        <f aca="false">IF($A161&lt;$B$5,0,IF($A161&gt;$B$6,0,Fwd_curves!Q191))</f>
        <v>0</v>
      </c>
      <c r="K161" s="0" t="n">
        <f aca="false">IF(B161=0,0,$B$9*B161)</f>
        <v>0</v>
      </c>
      <c r="L161" s="56" t="n">
        <f aca="false">external_curves!AB121</f>
        <v>20</v>
      </c>
      <c r="M161" s="56" t="n">
        <f aca="false">external_curves!AA121</f>
        <v>8</v>
      </c>
      <c r="N161" s="138" t="n">
        <f aca="false">(L161*16*$K161)</f>
        <v>0</v>
      </c>
      <c r="O161" s="138" t="n">
        <f aca="false">(L161*13*$K161)</f>
        <v>0</v>
      </c>
      <c r="P161" s="138" t="n">
        <f aca="false">(M161*24*$K161)</f>
        <v>0</v>
      </c>
      <c r="Q161" s="138" t="n">
        <f aca="false">((L161+M161)*K161)*24</f>
        <v>0</v>
      </c>
      <c r="R161" s="0" t="n">
        <f aca="false">L161*8*K161</f>
        <v>0</v>
      </c>
      <c r="T161" s="0" t="n">
        <f aca="false">IF(N161=0,0,$L161*16)*$B$9</f>
        <v>0</v>
      </c>
      <c r="U161" s="0" t="n">
        <f aca="false">IF(O161=0,0,$L161*13)*$B$9</f>
        <v>0</v>
      </c>
      <c r="V161" s="0" t="n">
        <f aca="false">IF(P161=0,0,$M161*24)*$B$9</f>
        <v>0</v>
      </c>
      <c r="W161" s="0" t="n">
        <f aca="false">IF(Q161=0,0,($L161+$M161)*24)*$B$9</f>
        <v>0</v>
      </c>
      <c r="X161" s="0" t="n">
        <f aca="false">IF(R161=0,0,$L161*8)*$B$9</f>
        <v>0</v>
      </c>
    </row>
    <row r="162" customFormat="false" ht="12.75" hidden="false" customHeight="false" outlineLevel="0" collapsed="false">
      <c r="A162" s="61" t="n">
        <f aca="false">Fwd_curves!A192</f>
        <v>39873</v>
      </c>
      <c r="B162" s="0" t="n">
        <f aca="false">IF($A162&lt;$B$5,0,IF($A162&gt;$B$6,0,Fwd_curves!H192))</f>
        <v>0</v>
      </c>
      <c r="C162" s="0" t="n">
        <f aca="false">IF($A162&lt;$B$5,0,IF($A162&gt;$B$6,0,Fwd_curves!J192))</f>
        <v>0</v>
      </c>
      <c r="D162" s="0" t="n">
        <f aca="false">IF($A162&lt;$B$5,0,IF($A162&gt;$B$6,0,Fwd_curves!K192))</f>
        <v>0</v>
      </c>
      <c r="E162" s="0" t="n">
        <f aca="false">IF($A162&lt;$B$5,0,IF($A162&gt;$B$6,0,Fwd_curves!L192))</f>
        <v>0</v>
      </c>
      <c r="F162" s="0" t="n">
        <f aca="false">IF($A162&lt;$B$5,0,IF($A162&gt;$B$6,0,Fwd_curves!M192))</f>
        <v>0</v>
      </c>
      <c r="G162" s="0" t="n">
        <f aca="false">IF($A162&lt;$B$5,0,IF($A162&gt;$B$6,0,Fwd_curves!N192))</f>
        <v>0</v>
      </c>
      <c r="H162" s="54" t="n">
        <f aca="false">IF($A162&lt;$B$5,0,IF($A162&gt;$B$6,0,Fwd_curves!O192))</f>
        <v>0</v>
      </c>
      <c r="I162" s="54" t="n">
        <f aca="false">IF($A162&lt;$B$5,0,IF($A162&gt;$B$6,0,Fwd_curves!P192))</f>
        <v>0</v>
      </c>
      <c r="J162" s="0" t="n">
        <f aca="false">IF($A162&lt;$B$5,0,IF($A162&gt;$B$6,0,Fwd_curves!Q192))</f>
        <v>0</v>
      </c>
      <c r="K162" s="0" t="n">
        <f aca="false">IF(B162=0,0,$B$9*B162)</f>
        <v>0</v>
      </c>
      <c r="L162" s="56" t="n">
        <f aca="false">external_curves!AB122</f>
        <v>23</v>
      </c>
      <c r="M162" s="56" t="n">
        <f aca="false">external_curves!AA122</f>
        <v>8</v>
      </c>
      <c r="N162" s="138" t="n">
        <f aca="false">(L162*16*$K162)</f>
        <v>0</v>
      </c>
      <c r="O162" s="138" t="n">
        <f aca="false">(L162*13*$K162)</f>
        <v>0</v>
      </c>
      <c r="P162" s="138" t="n">
        <f aca="false">(M162*24*$K162)</f>
        <v>0</v>
      </c>
      <c r="Q162" s="138" t="n">
        <f aca="false">((L162+M162)*K162)*24</f>
        <v>0</v>
      </c>
      <c r="R162" s="0" t="n">
        <f aca="false">L162*8*K162</f>
        <v>0</v>
      </c>
      <c r="T162" s="0" t="n">
        <f aca="false">IF(N162=0,0,$L162*16)*$B$9</f>
        <v>0</v>
      </c>
      <c r="U162" s="0" t="n">
        <f aca="false">IF(O162=0,0,$L162*13)*$B$9</f>
        <v>0</v>
      </c>
      <c r="V162" s="0" t="n">
        <f aca="false">IF(P162=0,0,$M162*24)*$B$9</f>
        <v>0</v>
      </c>
      <c r="W162" s="0" t="n">
        <f aca="false">IF(Q162=0,0,($L162+$M162)*24)*$B$9</f>
        <v>0</v>
      </c>
      <c r="X162" s="0" t="n">
        <f aca="false">IF(R162=0,0,$L162*8)*$B$9</f>
        <v>0</v>
      </c>
    </row>
    <row r="163" customFormat="false" ht="12.75" hidden="false" customHeight="false" outlineLevel="0" collapsed="false">
      <c r="A163" s="61" t="n">
        <f aca="false">Fwd_curves!A193</f>
        <v>39904</v>
      </c>
      <c r="B163" s="0" t="n">
        <f aca="false">IF($A163&lt;$B$5,0,IF($A163&gt;$B$6,0,Fwd_curves!H193))</f>
        <v>0</v>
      </c>
      <c r="C163" s="0" t="n">
        <f aca="false">IF($A163&lt;$B$5,0,IF($A163&gt;$B$6,0,Fwd_curves!J193))</f>
        <v>0</v>
      </c>
      <c r="D163" s="0" t="n">
        <f aca="false">IF($A163&lt;$B$5,0,IF($A163&gt;$B$6,0,Fwd_curves!K193))</f>
        <v>0</v>
      </c>
      <c r="E163" s="0" t="n">
        <f aca="false">IF($A163&lt;$B$5,0,IF($A163&gt;$B$6,0,Fwd_curves!L193))</f>
        <v>0</v>
      </c>
      <c r="F163" s="0" t="n">
        <f aca="false">IF($A163&lt;$B$5,0,IF($A163&gt;$B$6,0,Fwd_curves!M193))</f>
        <v>0</v>
      </c>
      <c r="G163" s="0" t="n">
        <f aca="false">IF($A163&lt;$B$5,0,IF($A163&gt;$B$6,0,Fwd_curves!N193))</f>
        <v>0</v>
      </c>
      <c r="H163" s="54" t="n">
        <f aca="false">IF($A163&lt;$B$5,0,IF($A163&gt;$B$6,0,Fwd_curves!O193))</f>
        <v>0</v>
      </c>
      <c r="I163" s="54" t="n">
        <f aca="false">IF($A163&lt;$B$5,0,IF($A163&gt;$B$6,0,Fwd_curves!P193))</f>
        <v>0</v>
      </c>
      <c r="J163" s="0" t="n">
        <f aca="false">IF($A163&lt;$B$5,0,IF($A163&gt;$B$6,0,Fwd_curves!Q193))</f>
        <v>0</v>
      </c>
      <c r="K163" s="0" t="n">
        <f aca="false">IF(B163=0,0,$B$9*B163)</f>
        <v>0</v>
      </c>
      <c r="L163" s="56" t="n">
        <f aca="false">external_curves!AB123</f>
        <v>21</v>
      </c>
      <c r="M163" s="56" t="n">
        <f aca="false">external_curves!AA123</f>
        <v>9</v>
      </c>
      <c r="N163" s="138" t="n">
        <f aca="false">(L163*16*$K163)</f>
        <v>0</v>
      </c>
      <c r="O163" s="138" t="n">
        <f aca="false">(L163*13*$K163)</f>
        <v>0</v>
      </c>
      <c r="P163" s="138" t="n">
        <f aca="false">(M163*24*$K163)</f>
        <v>0</v>
      </c>
      <c r="Q163" s="138" t="n">
        <f aca="false">((L163+M163)*K163)*24</f>
        <v>0</v>
      </c>
      <c r="R163" s="0" t="n">
        <f aca="false">L163*8*K163</f>
        <v>0</v>
      </c>
      <c r="T163" s="0" t="n">
        <f aca="false">IF(N163=0,0,$L163*16)*$B$9</f>
        <v>0</v>
      </c>
      <c r="U163" s="0" t="n">
        <f aca="false">IF(O163=0,0,$L163*13)*$B$9</f>
        <v>0</v>
      </c>
      <c r="V163" s="0" t="n">
        <f aca="false">IF(P163=0,0,$M163*24)*$B$9</f>
        <v>0</v>
      </c>
      <c r="W163" s="0" t="n">
        <f aca="false">IF(Q163=0,0,($L163+$M163)*24)*$B$9</f>
        <v>0</v>
      </c>
      <c r="X163" s="0" t="n">
        <f aca="false">IF(R163=0,0,$L163*8)*$B$9</f>
        <v>0</v>
      </c>
    </row>
    <row r="164" customFormat="false" ht="12.75" hidden="false" customHeight="false" outlineLevel="0" collapsed="false">
      <c r="A164" s="61" t="n">
        <f aca="false">Fwd_curves!A194</f>
        <v>39934</v>
      </c>
      <c r="B164" s="0" t="n">
        <f aca="false">IF($A164&lt;$B$5,0,IF($A164&gt;$B$6,0,Fwd_curves!H194))</f>
        <v>0</v>
      </c>
      <c r="C164" s="0" t="n">
        <f aca="false">IF($A164&lt;$B$5,0,IF($A164&gt;$B$6,0,Fwd_curves!J194))</f>
        <v>0</v>
      </c>
      <c r="D164" s="0" t="n">
        <f aca="false">IF($A164&lt;$B$5,0,IF($A164&gt;$B$6,0,Fwd_curves!K194))</f>
        <v>0</v>
      </c>
      <c r="E164" s="0" t="n">
        <f aca="false">IF($A164&lt;$B$5,0,IF($A164&gt;$B$6,0,Fwd_curves!L194))</f>
        <v>0</v>
      </c>
      <c r="F164" s="0" t="n">
        <f aca="false">IF($A164&lt;$B$5,0,IF($A164&gt;$B$6,0,Fwd_curves!M194))</f>
        <v>0</v>
      </c>
      <c r="G164" s="0" t="n">
        <f aca="false">IF($A164&lt;$B$5,0,IF($A164&gt;$B$6,0,Fwd_curves!N194))</f>
        <v>0</v>
      </c>
      <c r="H164" s="54" t="n">
        <f aca="false">IF($A164&lt;$B$5,0,IF($A164&gt;$B$6,0,Fwd_curves!O194))</f>
        <v>0</v>
      </c>
      <c r="I164" s="54" t="n">
        <f aca="false">IF($A164&lt;$B$5,0,IF($A164&gt;$B$6,0,Fwd_curves!P194))</f>
        <v>0</v>
      </c>
      <c r="J164" s="0" t="n">
        <f aca="false">IF($A164&lt;$B$5,0,IF($A164&gt;$B$6,0,Fwd_curves!Q194))</f>
        <v>0</v>
      </c>
      <c r="K164" s="0" t="n">
        <f aca="false">IF(B164=0,0,$B$9*B164)</f>
        <v>0</v>
      </c>
      <c r="L164" s="56" t="n">
        <f aca="false">external_curves!AB124</f>
        <v>22</v>
      </c>
      <c r="M164" s="56" t="n">
        <f aca="false">external_curves!AA124</f>
        <v>9</v>
      </c>
      <c r="N164" s="138" t="n">
        <f aca="false">(L164*16*$K164)</f>
        <v>0</v>
      </c>
      <c r="O164" s="138" t="n">
        <f aca="false">(L164*13*$K164)</f>
        <v>0</v>
      </c>
      <c r="P164" s="138" t="n">
        <f aca="false">(M164*24*$K164)</f>
        <v>0</v>
      </c>
      <c r="Q164" s="138" t="n">
        <f aca="false">((L164+M164)*K164)*24</f>
        <v>0</v>
      </c>
      <c r="R164" s="0" t="n">
        <f aca="false">L164*8*K164</f>
        <v>0</v>
      </c>
      <c r="T164" s="0" t="n">
        <f aca="false">IF(N164=0,0,$L164*16)*$B$9</f>
        <v>0</v>
      </c>
      <c r="U164" s="0" t="n">
        <f aca="false">IF(O164=0,0,$L164*13)*$B$9</f>
        <v>0</v>
      </c>
      <c r="V164" s="0" t="n">
        <f aca="false">IF(P164=0,0,$M164*24)*$B$9</f>
        <v>0</v>
      </c>
      <c r="W164" s="0" t="n">
        <f aca="false">IF(Q164=0,0,($L164+$M164)*24)*$B$9</f>
        <v>0</v>
      </c>
      <c r="X164" s="0" t="n">
        <f aca="false">IF(R164=0,0,$L164*8)*$B$9</f>
        <v>0</v>
      </c>
    </row>
    <row r="165" customFormat="false" ht="12.75" hidden="false" customHeight="false" outlineLevel="0" collapsed="false">
      <c r="A165" s="61" t="n">
        <f aca="false">Fwd_curves!A195</f>
        <v>39965</v>
      </c>
      <c r="B165" s="0" t="n">
        <f aca="false">IF($A165&lt;$B$5,0,IF($A165&gt;$B$6,0,Fwd_curves!H195))</f>
        <v>0</v>
      </c>
      <c r="C165" s="0" t="n">
        <f aca="false">IF($A165&lt;$B$5,0,IF($A165&gt;$B$6,0,Fwd_curves!J195))</f>
        <v>0</v>
      </c>
      <c r="D165" s="0" t="n">
        <f aca="false">IF($A165&lt;$B$5,0,IF($A165&gt;$B$6,0,Fwd_curves!K195))</f>
        <v>0</v>
      </c>
      <c r="E165" s="0" t="n">
        <f aca="false">IF($A165&lt;$B$5,0,IF($A165&gt;$B$6,0,Fwd_curves!L195))</f>
        <v>0</v>
      </c>
      <c r="F165" s="0" t="n">
        <f aca="false">IF($A165&lt;$B$5,0,IF($A165&gt;$B$6,0,Fwd_curves!M195))</f>
        <v>0</v>
      </c>
      <c r="G165" s="0" t="n">
        <f aca="false">IF($A165&lt;$B$5,0,IF($A165&gt;$B$6,0,Fwd_curves!N195))</f>
        <v>0</v>
      </c>
      <c r="H165" s="54" t="n">
        <f aca="false">IF($A165&lt;$B$5,0,IF($A165&gt;$B$6,0,Fwd_curves!O195))</f>
        <v>0</v>
      </c>
      <c r="I165" s="54" t="n">
        <f aca="false">IF($A165&lt;$B$5,0,IF($A165&gt;$B$6,0,Fwd_curves!P195))</f>
        <v>0</v>
      </c>
      <c r="J165" s="0" t="n">
        <f aca="false">IF($A165&lt;$B$5,0,IF($A165&gt;$B$6,0,Fwd_curves!Q195))</f>
        <v>0</v>
      </c>
      <c r="K165" s="0" t="n">
        <f aca="false">IF(B165=0,0,$B$9*B165)</f>
        <v>0</v>
      </c>
      <c r="L165" s="56" t="n">
        <f aca="false">external_curves!AB125</f>
        <v>22</v>
      </c>
      <c r="M165" s="56" t="n">
        <f aca="false">external_curves!AA125</f>
        <v>8</v>
      </c>
      <c r="N165" s="138" t="n">
        <f aca="false">(L165*16*$K165)</f>
        <v>0</v>
      </c>
      <c r="O165" s="138" t="n">
        <f aca="false">(L165*13*$K165)</f>
        <v>0</v>
      </c>
      <c r="P165" s="138" t="n">
        <f aca="false">(M165*24*$K165)</f>
        <v>0</v>
      </c>
      <c r="Q165" s="138" t="n">
        <f aca="false">((L165+M165)*K165)*24</f>
        <v>0</v>
      </c>
      <c r="R165" s="0" t="n">
        <f aca="false">L165*8*K165</f>
        <v>0</v>
      </c>
      <c r="T165" s="0" t="n">
        <f aca="false">IF(N165=0,0,$L165*16)*$B$9</f>
        <v>0</v>
      </c>
      <c r="U165" s="0" t="n">
        <f aca="false">IF(O165=0,0,$L165*13)*$B$9</f>
        <v>0</v>
      </c>
      <c r="V165" s="0" t="n">
        <f aca="false">IF(P165=0,0,$M165*24)*$B$9</f>
        <v>0</v>
      </c>
      <c r="W165" s="0" t="n">
        <f aca="false">IF(Q165=0,0,($L165+$M165)*24)*$B$9</f>
        <v>0</v>
      </c>
      <c r="X165" s="0" t="n">
        <f aca="false">IF(R165=0,0,$L165*8)*$B$9</f>
        <v>0</v>
      </c>
    </row>
    <row r="166" customFormat="false" ht="12.75" hidden="false" customHeight="false" outlineLevel="0" collapsed="false">
      <c r="A166" s="61" t="n">
        <f aca="false">Fwd_curves!A196</f>
        <v>39995</v>
      </c>
      <c r="B166" s="0" t="n">
        <f aca="false">IF($A166&lt;$B$5,0,IF($A166&gt;$B$6,0,Fwd_curves!H196))</f>
        <v>0</v>
      </c>
      <c r="C166" s="0" t="n">
        <f aca="false">IF($A166&lt;$B$5,0,IF($A166&gt;$B$6,0,Fwd_curves!J196))</f>
        <v>0</v>
      </c>
      <c r="D166" s="0" t="n">
        <f aca="false">IF($A166&lt;$B$5,0,IF($A166&gt;$B$6,0,Fwd_curves!K196))</f>
        <v>0</v>
      </c>
      <c r="E166" s="0" t="n">
        <f aca="false">IF($A166&lt;$B$5,0,IF($A166&gt;$B$6,0,Fwd_curves!L196))</f>
        <v>0</v>
      </c>
      <c r="F166" s="0" t="n">
        <f aca="false">IF($A166&lt;$B$5,0,IF($A166&gt;$B$6,0,Fwd_curves!M196))</f>
        <v>0</v>
      </c>
      <c r="G166" s="0" t="n">
        <f aca="false">IF($A166&lt;$B$5,0,IF($A166&gt;$B$6,0,Fwd_curves!N196))</f>
        <v>0</v>
      </c>
      <c r="H166" s="54" t="n">
        <f aca="false">IF($A166&lt;$B$5,0,IF($A166&gt;$B$6,0,Fwd_curves!O196))</f>
        <v>0</v>
      </c>
      <c r="I166" s="54" t="n">
        <f aca="false">IF($A166&lt;$B$5,0,IF($A166&gt;$B$6,0,Fwd_curves!P196))</f>
        <v>0</v>
      </c>
      <c r="J166" s="0" t="n">
        <f aca="false">IF($A166&lt;$B$5,0,IF($A166&gt;$B$6,0,Fwd_curves!Q196))</f>
        <v>0</v>
      </c>
      <c r="K166" s="0" t="n">
        <f aca="false">IF(B166=0,0,$B$9*B166)</f>
        <v>0</v>
      </c>
      <c r="L166" s="56" t="n">
        <f aca="false">external_curves!AB126</f>
        <v>21</v>
      </c>
      <c r="M166" s="56" t="n">
        <f aca="false">external_curves!AA126</f>
        <v>10</v>
      </c>
      <c r="N166" s="138" t="n">
        <f aca="false">(L166*16*$K166)</f>
        <v>0</v>
      </c>
      <c r="O166" s="138" t="n">
        <f aca="false">(L166*13*$K166)</f>
        <v>0</v>
      </c>
      <c r="P166" s="138" t="n">
        <f aca="false">(M166*24*$K166)</f>
        <v>0</v>
      </c>
      <c r="Q166" s="138" t="n">
        <f aca="false">((L166+M166)*K166)*24</f>
        <v>0</v>
      </c>
      <c r="R166" s="0" t="n">
        <f aca="false">L166*8*K166</f>
        <v>0</v>
      </c>
      <c r="T166" s="0" t="n">
        <f aca="false">IF(N166=0,0,$L166*16)*$B$9</f>
        <v>0</v>
      </c>
      <c r="U166" s="0" t="n">
        <f aca="false">IF(O166=0,0,$L166*13)*$B$9</f>
        <v>0</v>
      </c>
      <c r="V166" s="0" t="n">
        <f aca="false">IF(P166=0,0,$M166*24)*$B$9</f>
        <v>0</v>
      </c>
      <c r="W166" s="0" t="n">
        <f aca="false">IF(Q166=0,0,($L166+$M166)*24)*$B$9</f>
        <v>0</v>
      </c>
      <c r="X166" s="0" t="n">
        <f aca="false">IF(R166=0,0,$L166*8)*$B$9</f>
        <v>0</v>
      </c>
    </row>
    <row r="167" customFormat="false" ht="12.75" hidden="false" customHeight="false" outlineLevel="0" collapsed="false">
      <c r="A167" s="61" t="n">
        <f aca="false">Fwd_curves!A197</f>
        <v>40026</v>
      </c>
      <c r="B167" s="0" t="n">
        <f aca="false">IF($A167&lt;$B$5,0,IF($A167&gt;$B$6,0,Fwd_curves!H197))</f>
        <v>0</v>
      </c>
      <c r="C167" s="0" t="n">
        <f aca="false">IF($A167&lt;$B$5,0,IF($A167&gt;$B$6,0,Fwd_curves!J197))</f>
        <v>0</v>
      </c>
      <c r="D167" s="0" t="n">
        <f aca="false">IF($A167&lt;$B$5,0,IF($A167&gt;$B$6,0,Fwd_curves!K197))</f>
        <v>0</v>
      </c>
      <c r="E167" s="0" t="n">
        <f aca="false">IF($A167&lt;$B$5,0,IF($A167&gt;$B$6,0,Fwd_curves!L197))</f>
        <v>0</v>
      </c>
      <c r="F167" s="0" t="n">
        <f aca="false">IF($A167&lt;$B$5,0,IF($A167&gt;$B$6,0,Fwd_curves!M197))</f>
        <v>0</v>
      </c>
      <c r="G167" s="0" t="n">
        <f aca="false">IF($A167&lt;$B$5,0,IF($A167&gt;$B$6,0,Fwd_curves!N197))</f>
        <v>0</v>
      </c>
      <c r="H167" s="54" t="n">
        <f aca="false">IF($A167&lt;$B$5,0,IF($A167&gt;$B$6,0,Fwd_curves!O197))</f>
        <v>0</v>
      </c>
      <c r="I167" s="54" t="n">
        <f aca="false">IF($A167&lt;$B$5,0,IF($A167&gt;$B$6,0,Fwd_curves!P197))</f>
        <v>0</v>
      </c>
      <c r="J167" s="0" t="n">
        <f aca="false">IF($A167&lt;$B$5,0,IF($A167&gt;$B$6,0,Fwd_curves!Q197))</f>
        <v>0</v>
      </c>
      <c r="K167" s="0" t="n">
        <f aca="false">IF(B167=0,0,$B$9*B167)</f>
        <v>0</v>
      </c>
      <c r="L167" s="56" t="n">
        <f aca="false">external_curves!AB127</f>
        <v>23</v>
      </c>
      <c r="M167" s="56" t="n">
        <f aca="false">external_curves!AA127</f>
        <v>8</v>
      </c>
      <c r="N167" s="138" t="n">
        <f aca="false">(L167*16*$K167)</f>
        <v>0</v>
      </c>
      <c r="O167" s="138" t="n">
        <f aca="false">(L167*13*$K167)</f>
        <v>0</v>
      </c>
      <c r="P167" s="138" t="n">
        <f aca="false">(M167*24*$K167)</f>
        <v>0</v>
      </c>
      <c r="Q167" s="138" t="n">
        <f aca="false">((L167+M167)*K167)*24</f>
        <v>0</v>
      </c>
      <c r="R167" s="0" t="n">
        <f aca="false">L167*8*K167</f>
        <v>0</v>
      </c>
      <c r="T167" s="0" t="n">
        <f aca="false">IF(N167=0,0,$L167*16)*$B$9</f>
        <v>0</v>
      </c>
      <c r="U167" s="0" t="n">
        <f aca="false">IF(O167=0,0,$L167*13)*$B$9</f>
        <v>0</v>
      </c>
      <c r="V167" s="0" t="n">
        <f aca="false">IF(P167=0,0,$M167*24)*$B$9</f>
        <v>0</v>
      </c>
      <c r="W167" s="0" t="n">
        <f aca="false">IF(Q167=0,0,($L167+$M167)*24)*$B$9</f>
        <v>0</v>
      </c>
      <c r="X167" s="0" t="n">
        <f aca="false">IF(R167=0,0,$L167*8)*$B$9</f>
        <v>0</v>
      </c>
    </row>
    <row r="168" customFormat="false" ht="12.75" hidden="false" customHeight="false" outlineLevel="0" collapsed="false">
      <c r="A168" s="61" t="n">
        <f aca="false">Fwd_curves!A198</f>
        <v>40057</v>
      </c>
      <c r="B168" s="0" t="n">
        <f aca="false">IF($A168&lt;$B$5,0,IF($A168&gt;$B$6,0,Fwd_curves!H198))</f>
        <v>0</v>
      </c>
      <c r="C168" s="0" t="n">
        <f aca="false">IF($A168&lt;$B$5,0,IF($A168&gt;$B$6,0,Fwd_curves!J198))</f>
        <v>0</v>
      </c>
      <c r="D168" s="0" t="n">
        <f aca="false">IF($A168&lt;$B$5,0,IF($A168&gt;$B$6,0,Fwd_curves!K198))</f>
        <v>0</v>
      </c>
      <c r="E168" s="0" t="n">
        <f aca="false">IF($A168&lt;$B$5,0,IF($A168&gt;$B$6,0,Fwd_curves!L198))</f>
        <v>0</v>
      </c>
      <c r="F168" s="0" t="n">
        <f aca="false">IF($A168&lt;$B$5,0,IF($A168&gt;$B$6,0,Fwd_curves!M198))</f>
        <v>0</v>
      </c>
      <c r="G168" s="0" t="n">
        <f aca="false">IF($A168&lt;$B$5,0,IF($A168&gt;$B$6,0,Fwd_curves!N198))</f>
        <v>0</v>
      </c>
      <c r="H168" s="54" t="n">
        <f aca="false">IF($A168&lt;$B$5,0,IF($A168&gt;$B$6,0,Fwd_curves!O198))</f>
        <v>0</v>
      </c>
      <c r="I168" s="54" t="n">
        <f aca="false">IF($A168&lt;$B$5,0,IF($A168&gt;$B$6,0,Fwd_curves!P198))</f>
        <v>0</v>
      </c>
      <c r="J168" s="0" t="n">
        <f aca="false">IF($A168&lt;$B$5,0,IF($A168&gt;$B$6,0,Fwd_curves!Q198))</f>
        <v>0</v>
      </c>
      <c r="K168" s="0" t="n">
        <f aca="false">IF(B168=0,0,$B$9*B168)</f>
        <v>0</v>
      </c>
      <c r="L168" s="56" t="n">
        <f aca="false">external_curves!AB128</f>
        <v>22</v>
      </c>
      <c r="M168" s="56" t="n">
        <f aca="false">external_curves!AA128</f>
        <v>8</v>
      </c>
      <c r="N168" s="138" t="n">
        <f aca="false">(L168*16*$K168)</f>
        <v>0</v>
      </c>
      <c r="O168" s="138" t="n">
        <f aca="false">(L168*13*$K168)</f>
        <v>0</v>
      </c>
      <c r="P168" s="138" t="n">
        <f aca="false">(M168*24*$K168)</f>
        <v>0</v>
      </c>
      <c r="Q168" s="138" t="n">
        <f aca="false">((L168+M168)*K168)*24</f>
        <v>0</v>
      </c>
      <c r="R168" s="0" t="n">
        <f aca="false">L168*8*K168</f>
        <v>0</v>
      </c>
      <c r="T168" s="0" t="n">
        <f aca="false">IF(N168=0,0,$L168*16)*$B$9</f>
        <v>0</v>
      </c>
      <c r="U168" s="0" t="n">
        <f aca="false">IF(O168=0,0,$L168*13)*$B$9</f>
        <v>0</v>
      </c>
      <c r="V168" s="0" t="n">
        <f aca="false">IF(P168=0,0,$M168*24)*$B$9</f>
        <v>0</v>
      </c>
      <c r="W168" s="0" t="n">
        <f aca="false">IF(Q168=0,0,($L168+$M168)*24)*$B$9</f>
        <v>0</v>
      </c>
      <c r="X168" s="0" t="n">
        <f aca="false">IF(R168=0,0,$L168*8)*$B$9</f>
        <v>0</v>
      </c>
    </row>
    <row r="169" customFormat="false" ht="12.75" hidden="false" customHeight="false" outlineLevel="0" collapsed="false">
      <c r="A169" s="61" t="n">
        <f aca="false">Fwd_curves!A199</f>
        <v>40087</v>
      </c>
      <c r="B169" s="0" t="n">
        <f aca="false">IF($A169&lt;$B$5,0,IF($A169&gt;$B$6,0,Fwd_curves!H199))</f>
        <v>0</v>
      </c>
      <c r="C169" s="0" t="n">
        <f aca="false">IF($A169&lt;$B$5,0,IF($A169&gt;$B$6,0,Fwd_curves!J199))</f>
        <v>0</v>
      </c>
      <c r="D169" s="0" t="n">
        <f aca="false">IF($A169&lt;$B$5,0,IF($A169&gt;$B$6,0,Fwd_curves!K199))</f>
        <v>0</v>
      </c>
      <c r="E169" s="0" t="n">
        <f aca="false">IF($A169&lt;$B$5,0,IF($A169&gt;$B$6,0,Fwd_curves!L199))</f>
        <v>0</v>
      </c>
      <c r="F169" s="0" t="n">
        <f aca="false">IF($A169&lt;$B$5,0,IF($A169&gt;$B$6,0,Fwd_curves!M199))</f>
        <v>0</v>
      </c>
      <c r="G169" s="0" t="n">
        <f aca="false">IF($A169&lt;$B$5,0,IF($A169&gt;$B$6,0,Fwd_curves!N199))</f>
        <v>0</v>
      </c>
      <c r="H169" s="54" t="n">
        <f aca="false">IF($A169&lt;$B$5,0,IF($A169&gt;$B$6,0,Fwd_curves!O199))</f>
        <v>0</v>
      </c>
      <c r="I169" s="54" t="n">
        <f aca="false">IF($A169&lt;$B$5,0,IF($A169&gt;$B$6,0,Fwd_curves!P199))</f>
        <v>0</v>
      </c>
      <c r="J169" s="0" t="n">
        <f aca="false">IF($A169&lt;$B$5,0,IF($A169&gt;$B$6,0,Fwd_curves!Q199))</f>
        <v>0</v>
      </c>
      <c r="K169" s="0" t="n">
        <f aca="false">IF(B169=0,0,$B$9*B169)</f>
        <v>0</v>
      </c>
      <c r="L169" s="56" t="n">
        <f aca="false">external_curves!AB129</f>
        <v>21</v>
      </c>
      <c r="M169" s="56" t="n">
        <f aca="false">external_curves!AA129</f>
        <v>10</v>
      </c>
      <c r="N169" s="138" t="n">
        <f aca="false">(L169*16*$K169)</f>
        <v>0</v>
      </c>
      <c r="O169" s="138" t="n">
        <f aca="false">(L169*13*$K169)</f>
        <v>0</v>
      </c>
      <c r="P169" s="138" t="n">
        <f aca="false">(M169*24*$K169)</f>
        <v>0</v>
      </c>
      <c r="Q169" s="138" t="n">
        <f aca="false">((L169+M169)*K169)*24</f>
        <v>0</v>
      </c>
      <c r="R169" s="0" t="n">
        <f aca="false">L169*8*K169</f>
        <v>0</v>
      </c>
      <c r="T169" s="0" t="n">
        <f aca="false">IF(N169=0,0,$L169*16)*$B$9</f>
        <v>0</v>
      </c>
      <c r="U169" s="0" t="n">
        <f aca="false">IF(O169=0,0,$L169*13)*$B$9</f>
        <v>0</v>
      </c>
      <c r="V169" s="0" t="n">
        <f aca="false">IF(P169=0,0,$M169*24)*$B$9</f>
        <v>0</v>
      </c>
      <c r="W169" s="0" t="n">
        <f aca="false">IF(Q169=0,0,($L169+$M169)*24)*$B$9</f>
        <v>0</v>
      </c>
      <c r="X169" s="0" t="n">
        <f aca="false">IF(R169=0,0,$L169*8)*$B$9</f>
        <v>0</v>
      </c>
    </row>
    <row r="170" customFormat="false" ht="12.75" hidden="false" customHeight="false" outlineLevel="0" collapsed="false">
      <c r="A170" s="61" t="n">
        <f aca="false">Fwd_curves!A200</f>
        <v>40118</v>
      </c>
      <c r="B170" s="0" t="n">
        <f aca="false">IF($A170&lt;$B$5,0,IF($A170&gt;$B$6,0,Fwd_curves!H200))</f>
        <v>0</v>
      </c>
      <c r="C170" s="0" t="n">
        <f aca="false">IF($A170&lt;$B$5,0,IF($A170&gt;$B$6,0,Fwd_curves!J200))</f>
        <v>0</v>
      </c>
      <c r="D170" s="0" t="n">
        <f aca="false">IF($A170&lt;$B$5,0,IF($A170&gt;$B$6,0,Fwd_curves!K200))</f>
        <v>0</v>
      </c>
      <c r="E170" s="0" t="n">
        <f aca="false">IF($A170&lt;$B$5,0,IF($A170&gt;$B$6,0,Fwd_curves!L200))</f>
        <v>0</v>
      </c>
      <c r="F170" s="0" t="n">
        <f aca="false">IF($A170&lt;$B$5,0,IF($A170&gt;$B$6,0,Fwd_curves!M200))</f>
        <v>0</v>
      </c>
      <c r="G170" s="0" t="n">
        <f aca="false">IF($A170&lt;$B$5,0,IF($A170&gt;$B$6,0,Fwd_curves!N200))</f>
        <v>0</v>
      </c>
      <c r="H170" s="54" t="n">
        <f aca="false">IF($A170&lt;$B$5,0,IF($A170&gt;$B$6,0,Fwd_curves!O200))</f>
        <v>0</v>
      </c>
      <c r="I170" s="54" t="n">
        <f aca="false">IF($A170&lt;$B$5,0,IF($A170&gt;$B$6,0,Fwd_curves!P200))</f>
        <v>0</v>
      </c>
      <c r="J170" s="0" t="n">
        <f aca="false">IF($A170&lt;$B$5,0,IF($A170&gt;$B$6,0,Fwd_curves!Q200))</f>
        <v>0</v>
      </c>
      <c r="K170" s="0" t="n">
        <f aca="false">IF(B170=0,0,$B$9*B170)</f>
        <v>0</v>
      </c>
      <c r="L170" s="56" t="n">
        <f aca="false">external_curves!AB130</f>
        <v>22</v>
      </c>
      <c r="M170" s="56" t="n">
        <f aca="false">external_curves!AA130</f>
        <v>8</v>
      </c>
      <c r="N170" s="138" t="n">
        <f aca="false">(L170*16*$K170)</f>
        <v>0</v>
      </c>
      <c r="O170" s="138" t="n">
        <f aca="false">(L170*13*$K170)</f>
        <v>0</v>
      </c>
      <c r="P170" s="138" t="n">
        <f aca="false">(M170*24*$K170)</f>
        <v>0</v>
      </c>
      <c r="Q170" s="138" t="n">
        <f aca="false">((L170+M170)*K170)*24</f>
        <v>0</v>
      </c>
      <c r="R170" s="0" t="n">
        <f aca="false">L170*8*K170</f>
        <v>0</v>
      </c>
      <c r="T170" s="0" t="n">
        <f aca="false">IF(N170=0,0,$L170*16)*$B$9</f>
        <v>0</v>
      </c>
      <c r="U170" s="0" t="n">
        <f aca="false">IF(O170=0,0,$L170*13)*$B$9</f>
        <v>0</v>
      </c>
      <c r="V170" s="0" t="n">
        <f aca="false">IF(P170=0,0,$M170*24)*$B$9</f>
        <v>0</v>
      </c>
      <c r="W170" s="0" t="n">
        <f aca="false">IF(Q170=0,0,($L170+$M170)*24)*$B$9</f>
        <v>0</v>
      </c>
      <c r="X170" s="0" t="n">
        <f aca="false">IF(R170=0,0,$L170*8)*$B$9</f>
        <v>0</v>
      </c>
    </row>
    <row r="171" customFormat="false" ht="12.75" hidden="false" customHeight="false" outlineLevel="0" collapsed="false">
      <c r="A171" s="61" t="n">
        <f aca="false">Fwd_curves!A201</f>
        <v>40148</v>
      </c>
      <c r="B171" s="0" t="n">
        <f aca="false">IF($A171&lt;$B$5,0,IF($A171&gt;$B$6,0,Fwd_curves!H201))</f>
        <v>0</v>
      </c>
      <c r="C171" s="0" t="n">
        <f aca="false">IF($A171&lt;$B$5,0,IF($A171&gt;$B$6,0,Fwd_curves!J201))</f>
        <v>0</v>
      </c>
      <c r="D171" s="0" t="n">
        <f aca="false">IF($A171&lt;$B$5,0,IF($A171&gt;$B$6,0,Fwd_curves!K201))</f>
        <v>0</v>
      </c>
      <c r="E171" s="0" t="n">
        <f aca="false">IF($A171&lt;$B$5,0,IF($A171&gt;$B$6,0,Fwd_curves!L201))</f>
        <v>0</v>
      </c>
      <c r="F171" s="0" t="n">
        <f aca="false">IF($A171&lt;$B$5,0,IF($A171&gt;$B$6,0,Fwd_curves!M201))</f>
        <v>0</v>
      </c>
      <c r="G171" s="0" t="n">
        <f aca="false">IF($A171&lt;$B$5,0,IF($A171&gt;$B$6,0,Fwd_curves!N201))</f>
        <v>0</v>
      </c>
      <c r="H171" s="54" t="n">
        <f aca="false">IF($A171&lt;$B$5,0,IF($A171&gt;$B$6,0,Fwd_curves!O201))</f>
        <v>0</v>
      </c>
      <c r="I171" s="54" t="n">
        <f aca="false">IF($A171&lt;$B$5,0,IF($A171&gt;$B$6,0,Fwd_curves!P201))</f>
        <v>0</v>
      </c>
      <c r="J171" s="0" t="n">
        <f aca="false">IF($A171&lt;$B$5,0,IF($A171&gt;$B$6,0,Fwd_curves!Q201))</f>
        <v>0</v>
      </c>
      <c r="K171" s="0" t="n">
        <f aca="false">IF(B171=0,0,$B$9*B171)</f>
        <v>0</v>
      </c>
      <c r="L171" s="56" t="n">
        <f aca="false">external_curves!AB131</f>
        <v>22</v>
      </c>
      <c r="M171" s="56" t="n">
        <f aca="false">external_curves!AA131</f>
        <v>9</v>
      </c>
      <c r="N171" s="138" t="n">
        <f aca="false">(L171*16*$K171)</f>
        <v>0</v>
      </c>
      <c r="O171" s="138" t="n">
        <f aca="false">(L171*13*$K171)</f>
        <v>0</v>
      </c>
      <c r="P171" s="138" t="n">
        <f aca="false">(M171*24*$K171)</f>
        <v>0</v>
      </c>
      <c r="Q171" s="138" t="n">
        <f aca="false">((L171+M171)*K171)*24</f>
        <v>0</v>
      </c>
      <c r="R171" s="0" t="n">
        <f aca="false">L171*8*K171</f>
        <v>0</v>
      </c>
      <c r="T171" s="0" t="n">
        <f aca="false">IF(N171=0,0,$L171*16)*$B$9</f>
        <v>0</v>
      </c>
      <c r="U171" s="0" t="n">
        <f aca="false">IF(O171=0,0,$L171*13)*$B$9</f>
        <v>0</v>
      </c>
      <c r="V171" s="0" t="n">
        <f aca="false">IF(P171=0,0,$M171*24)*$B$9</f>
        <v>0</v>
      </c>
      <c r="W171" s="0" t="n">
        <f aca="false">IF(Q171=0,0,($L171+$M171)*24)*$B$9</f>
        <v>0</v>
      </c>
      <c r="X171" s="0" t="n">
        <f aca="false">IF(R171=0,0,$L171*8)*$B$9</f>
        <v>0</v>
      </c>
    </row>
    <row r="172" customFormat="false" ht="12.75" hidden="false" customHeight="false" outlineLevel="0" collapsed="false">
      <c r="A172" s="61" t="n">
        <f aca="false">Fwd_curves!A202</f>
        <v>40179</v>
      </c>
      <c r="B172" s="0" t="n">
        <f aca="false">IF($A172&lt;$B$5,0,IF($A172&gt;$B$6,0,Fwd_curves!H202))</f>
        <v>0</v>
      </c>
      <c r="C172" s="0" t="n">
        <f aca="false">IF($A172&lt;$B$5,0,IF($A172&gt;$B$6,0,Fwd_curves!J202))</f>
        <v>0</v>
      </c>
      <c r="D172" s="0" t="n">
        <f aca="false">IF($A172&lt;$B$5,0,IF($A172&gt;$B$6,0,Fwd_curves!K202))</f>
        <v>0</v>
      </c>
      <c r="E172" s="0" t="n">
        <f aca="false">IF($A172&lt;$B$5,0,IF($A172&gt;$B$6,0,Fwd_curves!L202))</f>
        <v>0</v>
      </c>
      <c r="F172" s="0" t="n">
        <f aca="false">IF($A172&lt;$B$5,0,IF($A172&gt;$B$6,0,Fwd_curves!M202))</f>
        <v>0</v>
      </c>
      <c r="G172" s="0" t="n">
        <f aca="false">IF($A172&lt;$B$5,0,IF($A172&gt;$B$6,0,Fwd_curves!N202))</f>
        <v>0</v>
      </c>
      <c r="H172" s="54" t="n">
        <f aca="false">IF($A172&lt;$B$5,0,IF($A172&gt;$B$6,0,Fwd_curves!O202))</f>
        <v>0</v>
      </c>
      <c r="I172" s="54" t="n">
        <f aca="false">IF($A172&lt;$B$5,0,IF($A172&gt;$B$6,0,Fwd_curves!P202))</f>
        <v>0</v>
      </c>
      <c r="J172" s="0" t="n">
        <f aca="false">IF($A172&lt;$B$5,0,IF($A172&gt;$B$6,0,Fwd_curves!Q202))</f>
        <v>0</v>
      </c>
      <c r="K172" s="0" t="n">
        <f aca="false">IF(B172=0,0,$B$9*B172)</f>
        <v>0</v>
      </c>
      <c r="L172" s="56" t="n">
        <f aca="false">external_curves!AB132</f>
        <v>21</v>
      </c>
      <c r="M172" s="56" t="n">
        <f aca="false">external_curves!AA132</f>
        <v>10</v>
      </c>
      <c r="N172" s="138" t="n">
        <f aca="false">(L172*16*$K172)</f>
        <v>0</v>
      </c>
      <c r="O172" s="138" t="n">
        <f aca="false">(L172*13*$K172)</f>
        <v>0</v>
      </c>
      <c r="P172" s="138" t="n">
        <f aca="false">(M172*24*$K172)</f>
        <v>0</v>
      </c>
      <c r="Q172" s="138" t="n">
        <f aca="false">((L172+M172)*K172)*24</f>
        <v>0</v>
      </c>
      <c r="R172" s="0" t="n">
        <f aca="false">L172*8*K172</f>
        <v>0</v>
      </c>
      <c r="T172" s="0" t="n">
        <f aca="false">IF(N172=0,0,$L172*16)*$B$9</f>
        <v>0</v>
      </c>
      <c r="U172" s="0" t="n">
        <f aca="false">IF(O172=0,0,$L172*13)*$B$9</f>
        <v>0</v>
      </c>
      <c r="V172" s="0" t="n">
        <f aca="false">IF(P172=0,0,$M172*24)*$B$9</f>
        <v>0</v>
      </c>
      <c r="W172" s="0" t="n">
        <f aca="false">IF(Q172=0,0,($L172+$M172)*24)*$B$9</f>
        <v>0</v>
      </c>
      <c r="X172" s="0" t="n">
        <f aca="false">IF(R172=0,0,$L172*8)*$B$9</f>
        <v>0</v>
      </c>
    </row>
    <row r="173" customFormat="false" ht="12.75" hidden="false" customHeight="false" outlineLevel="0" collapsed="false">
      <c r="A173" s="61" t="n">
        <f aca="false">Fwd_curves!A203</f>
        <v>40210</v>
      </c>
      <c r="B173" s="0" t="n">
        <f aca="false">IF($A173&lt;$B$5,0,IF($A173&gt;$B$6,0,Fwd_curves!H203))</f>
        <v>0</v>
      </c>
      <c r="C173" s="0" t="n">
        <f aca="false">IF($A173&lt;$B$5,0,IF($A173&gt;$B$6,0,Fwd_curves!J203))</f>
        <v>0</v>
      </c>
      <c r="D173" s="0" t="n">
        <f aca="false">IF($A173&lt;$B$5,0,IF($A173&gt;$B$6,0,Fwd_curves!K203))</f>
        <v>0</v>
      </c>
      <c r="E173" s="0" t="n">
        <f aca="false">IF($A173&lt;$B$5,0,IF($A173&gt;$B$6,0,Fwd_curves!L203))</f>
        <v>0</v>
      </c>
      <c r="F173" s="0" t="n">
        <f aca="false">IF($A173&lt;$B$5,0,IF($A173&gt;$B$6,0,Fwd_curves!M203))</f>
        <v>0</v>
      </c>
      <c r="G173" s="0" t="n">
        <f aca="false">IF($A173&lt;$B$5,0,IF($A173&gt;$B$6,0,Fwd_curves!N203))</f>
        <v>0</v>
      </c>
      <c r="H173" s="54" t="n">
        <f aca="false">IF($A173&lt;$B$5,0,IF($A173&gt;$B$6,0,Fwd_curves!O203))</f>
        <v>0</v>
      </c>
      <c r="I173" s="54" t="n">
        <f aca="false">IF($A173&lt;$B$5,0,IF($A173&gt;$B$6,0,Fwd_curves!P203))</f>
        <v>0</v>
      </c>
      <c r="J173" s="0" t="n">
        <f aca="false">IF($A173&lt;$B$5,0,IF($A173&gt;$B$6,0,Fwd_curves!Q203))</f>
        <v>0</v>
      </c>
      <c r="K173" s="0" t="n">
        <f aca="false">IF(B173=0,0,$B$9*B173)</f>
        <v>0</v>
      </c>
      <c r="L173" s="56" t="n">
        <f aca="false">external_curves!AB133</f>
        <v>20</v>
      </c>
      <c r="M173" s="56" t="n">
        <f aca="false">external_curves!AA133</f>
        <v>8</v>
      </c>
      <c r="N173" s="138" t="n">
        <f aca="false">(L173*16*$K173)</f>
        <v>0</v>
      </c>
      <c r="O173" s="138" t="n">
        <f aca="false">(L173*13*$K173)</f>
        <v>0</v>
      </c>
      <c r="P173" s="138" t="n">
        <f aca="false">(M173*24*$K173)</f>
        <v>0</v>
      </c>
      <c r="Q173" s="138" t="n">
        <f aca="false">((L173+M173)*K173)*24</f>
        <v>0</v>
      </c>
      <c r="R173" s="0" t="n">
        <f aca="false">L173*8*K173</f>
        <v>0</v>
      </c>
      <c r="T173" s="0" t="n">
        <f aca="false">IF(N173=0,0,$L173*16)*$B$9</f>
        <v>0</v>
      </c>
      <c r="U173" s="0" t="n">
        <f aca="false">IF(O173=0,0,$L173*13)*$B$9</f>
        <v>0</v>
      </c>
      <c r="V173" s="0" t="n">
        <f aca="false">IF(P173=0,0,$M173*24)*$B$9</f>
        <v>0</v>
      </c>
      <c r="W173" s="0" t="n">
        <f aca="false">IF(Q173=0,0,($L173+$M173)*24)*$B$9</f>
        <v>0</v>
      </c>
      <c r="X173" s="0" t="n">
        <f aca="false">IF(R173=0,0,$L173*8)*$B$9</f>
        <v>0</v>
      </c>
    </row>
    <row r="174" customFormat="false" ht="12.75" hidden="false" customHeight="false" outlineLevel="0" collapsed="false">
      <c r="A174" s="61" t="n">
        <f aca="false">Fwd_curves!A204</f>
        <v>40238</v>
      </c>
      <c r="B174" s="0" t="n">
        <f aca="false">IF($A174&lt;$B$5,0,IF($A174&gt;$B$6,0,Fwd_curves!H204))</f>
        <v>0</v>
      </c>
      <c r="C174" s="0" t="n">
        <f aca="false">IF($A174&lt;$B$5,0,IF($A174&gt;$B$6,0,Fwd_curves!J204))</f>
        <v>0</v>
      </c>
      <c r="D174" s="0" t="n">
        <f aca="false">IF($A174&lt;$B$5,0,IF($A174&gt;$B$6,0,Fwd_curves!K204))</f>
        <v>0</v>
      </c>
      <c r="E174" s="0" t="n">
        <f aca="false">IF($A174&lt;$B$5,0,IF($A174&gt;$B$6,0,Fwd_curves!L204))</f>
        <v>0</v>
      </c>
      <c r="F174" s="0" t="n">
        <f aca="false">IF($A174&lt;$B$5,0,IF($A174&gt;$B$6,0,Fwd_curves!M204))</f>
        <v>0</v>
      </c>
      <c r="G174" s="0" t="n">
        <f aca="false">IF($A174&lt;$B$5,0,IF($A174&gt;$B$6,0,Fwd_curves!N204))</f>
        <v>0</v>
      </c>
      <c r="H174" s="54" t="n">
        <f aca="false">IF($A174&lt;$B$5,0,IF($A174&gt;$B$6,0,Fwd_curves!O204))</f>
        <v>0</v>
      </c>
      <c r="I174" s="54" t="n">
        <f aca="false">IF($A174&lt;$B$5,0,IF($A174&gt;$B$6,0,Fwd_curves!P204))</f>
        <v>0</v>
      </c>
      <c r="J174" s="0" t="n">
        <f aca="false">IF($A174&lt;$B$5,0,IF($A174&gt;$B$6,0,Fwd_curves!Q204))</f>
        <v>0</v>
      </c>
      <c r="K174" s="0" t="n">
        <f aca="false">IF(B174=0,0,$B$9*B174)</f>
        <v>0</v>
      </c>
      <c r="L174" s="56" t="n">
        <f aca="false">external_curves!AB134</f>
        <v>23</v>
      </c>
      <c r="M174" s="56" t="n">
        <f aca="false">external_curves!AA134</f>
        <v>8</v>
      </c>
      <c r="N174" s="138" t="n">
        <f aca="false">(L174*16*$K174)</f>
        <v>0</v>
      </c>
      <c r="O174" s="138" t="n">
        <f aca="false">(L174*13*$K174)</f>
        <v>0</v>
      </c>
      <c r="P174" s="138" t="n">
        <f aca="false">(M174*24*$K174)</f>
        <v>0</v>
      </c>
      <c r="Q174" s="138" t="n">
        <f aca="false">((L174+M174)*K174)*24</f>
        <v>0</v>
      </c>
      <c r="R174" s="0" t="n">
        <f aca="false">L174*8*K174</f>
        <v>0</v>
      </c>
      <c r="T174" s="0" t="n">
        <f aca="false">IF(N174=0,0,$L174*16)*$B$9</f>
        <v>0</v>
      </c>
      <c r="U174" s="0" t="n">
        <f aca="false">IF(O174=0,0,$L174*13)*$B$9</f>
        <v>0</v>
      </c>
      <c r="V174" s="0" t="n">
        <f aca="false">IF(P174=0,0,$M174*24)*$B$9</f>
        <v>0</v>
      </c>
      <c r="W174" s="0" t="n">
        <f aca="false">IF(Q174=0,0,($L174+$M174)*24)*$B$9</f>
        <v>0</v>
      </c>
      <c r="X174" s="0" t="n">
        <f aca="false">IF(R174=0,0,$L174*8)*$B$9</f>
        <v>0</v>
      </c>
    </row>
    <row r="175" customFormat="false" ht="12.75" hidden="false" customHeight="false" outlineLevel="0" collapsed="false">
      <c r="A175" s="61" t="n">
        <f aca="false">Fwd_curves!A205</f>
        <v>40269</v>
      </c>
      <c r="B175" s="0" t="n">
        <f aca="false">IF($A175&lt;$B$5,0,IF($A175&gt;$B$6,0,Fwd_curves!H205))</f>
        <v>0</v>
      </c>
      <c r="C175" s="0" t="n">
        <f aca="false">IF($A175&lt;$B$5,0,IF($A175&gt;$B$6,0,Fwd_curves!J205))</f>
        <v>0</v>
      </c>
      <c r="D175" s="0" t="n">
        <f aca="false">IF($A175&lt;$B$5,0,IF($A175&gt;$B$6,0,Fwd_curves!K205))</f>
        <v>0</v>
      </c>
      <c r="E175" s="0" t="n">
        <f aca="false">IF($A175&lt;$B$5,0,IF($A175&gt;$B$6,0,Fwd_curves!L205))</f>
        <v>0</v>
      </c>
      <c r="F175" s="0" t="n">
        <f aca="false">IF($A175&lt;$B$5,0,IF($A175&gt;$B$6,0,Fwd_curves!M205))</f>
        <v>0</v>
      </c>
      <c r="G175" s="0" t="n">
        <f aca="false">IF($A175&lt;$B$5,0,IF($A175&gt;$B$6,0,Fwd_curves!N205))</f>
        <v>0</v>
      </c>
      <c r="H175" s="54" t="n">
        <f aca="false">IF($A175&lt;$B$5,0,IF($A175&gt;$B$6,0,Fwd_curves!O205))</f>
        <v>0</v>
      </c>
      <c r="I175" s="54" t="n">
        <f aca="false">IF($A175&lt;$B$5,0,IF($A175&gt;$B$6,0,Fwd_curves!P205))</f>
        <v>0</v>
      </c>
      <c r="J175" s="0" t="n">
        <f aca="false">IF($A175&lt;$B$5,0,IF($A175&gt;$B$6,0,Fwd_curves!Q205))</f>
        <v>0</v>
      </c>
      <c r="K175" s="0" t="n">
        <f aca="false">IF(B175=0,0,$B$9*B175)</f>
        <v>0</v>
      </c>
      <c r="L175" s="56" t="n">
        <f aca="false">external_curves!AB135</f>
        <v>21</v>
      </c>
      <c r="M175" s="56" t="n">
        <f aca="false">external_curves!AA135</f>
        <v>9</v>
      </c>
      <c r="N175" s="138" t="n">
        <f aca="false">(L175*16*$K175)</f>
        <v>0</v>
      </c>
      <c r="O175" s="138" t="n">
        <f aca="false">(L175*13*$K175)</f>
        <v>0</v>
      </c>
      <c r="P175" s="138" t="n">
        <f aca="false">(M175*24*$K175)</f>
        <v>0</v>
      </c>
      <c r="Q175" s="138" t="n">
        <f aca="false">((L175+M175)*K175)*24</f>
        <v>0</v>
      </c>
      <c r="R175" s="0" t="n">
        <f aca="false">L175*8*K175</f>
        <v>0</v>
      </c>
      <c r="T175" s="0" t="n">
        <f aca="false">IF(N175=0,0,$L175*16)*$B$9</f>
        <v>0</v>
      </c>
      <c r="U175" s="0" t="n">
        <f aca="false">IF(O175=0,0,$L175*13)*$B$9</f>
        <v>0</v>
      </c>
      <c r="V175" s="0" t="n">
        <f aca="false">IF(P175=0,0,$M175*24)*$B$9</f>
        <v>0</v>
      </c>
      <c r="W175" s="0" t="n">
        <f aca="false">IF(Q175=0,0,($L175+$M175)*24)*$B$9</f>
        <v>0</v>
      </c>
      <c r="X175" s="0" t="n">
        <f aca="false">IF(R175=0,0,$L175*8)*$B$9</f>
        <v>0</v>
      </c>
    </row>
    <row r="176" customFormat="false" ht="12.75" hidden="false" customHeight="false" outlineLevel="0" collapsed="false">
      <c r="A176" s="61" t="n">
        <f aca="false">Fwd_curves!A206</f>
        <v>40299</v>
      </c>
      <c r="B176" s="0" t="n">
        <f aca="false">IF($A176&lt;$B$5,0,IF($A176&gt;$B$6,0,Fwd_curves!H206))</f>
        <v>0</v>
      </c>
      <c r="C176" s="0" t="n">
        <f aca="false">IF($A176&lt;$B$5,0,IF($A176&gt;$B$6,0,Fwd_curves!J206))</f>
        <v>0</v>
      </c>
      <c r="D176" s="0" t="n">
        <f aca="false">IF($A176&lt;$B$5,0,IF($A176&gt;$B$6,0,Fwd_curves!K206))</f>
        <v>0</v>
      </c>
      <c r="E176" s="0" t="n">
        <f aca="false">IF($A176&lt;$B$5,0,IF($A176&gt;$B$6,0,Fwd_curves!L206))</f>
        <v>0</v>
      </c>
      <c r="F176" s="0" t="n">
        <f aca="false">IF($A176&lt;$B$5,0,IF($A176&gt;$B$6,0,Fwd_curves!M206))</f>
        <v>0</v>
      </c>
      <c r="G176" s="0" t="n">
        <f aca="false">IF($A176&lt;$B$5,0,IF($A176&gt;$B$6,0,Fwd_curves!N206))</f>
        <v>0</v>
      </c>
      <c r="H176" s="54" t="n">
        <f aca="false">IF($A176&lt;$B$5,0,IF($A176&gt;$B$6,0,Fwd_curves!O206))</f>
        <v>0</v>
      </c>
      <c r="I176" s="54" t="n">
        <f aca="false">IF($A176&lt;$B$5,0,IF($A176&gt;$B$6,0,Fwd_curves!P206))</f>
        <v>0</v>
      </c>
      <c r="J176" s="0" t="n">
        <f aca="false">IF($A176&lt;$B$5,0,IF($A176&gt;$B$6,0,Fwd_curves!Q206))</f>
        <v>0</v>
      </c>
      <c r="K176" s="0" t="n">
        <f aca="false">IF(B176=0,0,$B$9*B176)</f>
        <v>0</v>
      </c>
      <c r="L176" s="56" t="n">
        <f aca="false">external_curves!AB136</f>
        <v>22</v>
      </c>
      <c r="M176" s="56" t="n">
        <f aca="false">external_curves!AA136</f>
        <v>9</v>
      </c>
      <c r="N176" s="138" t="n">
        <f aca="false">(L176*16*$K176)</f>
        <v>0</v>
      </c>
      <c r="O176" s="138" t="n">
        <f aca="false">(L176*13*$K176)</f>
        <v>0</v>
      </c>
      <c r="P176" s="138" t="n">
        <f aca="false">(M176*24*$K176)</f>
        <v>0</v>
      </c>
      <c r="Q176" s="138" t="n">
        <f aca="false">((L176+M176)*K176)*24</f>
        <v>0</v>
      </c>
      <c r="R176" s="0" t="n">
        <f aca="false">L176*8*K176</f>
        <v>0</v>
      </c>
      <c r="T176" s="0" t="n">
        <f aca="false">IF(N176=0,0,$L176*16)*$B$9</f>
        <v>0</v>
      </c>
      <c r="U176" s="0" t="n">
        <f aca="false">IF(O176=0,0,$L176*13)*$B$9</f>
        <v>0</v>
      </c>
      <c r="V176" s="0" t="n">
        <f aca="false">IF(P176=0,0,$M176*24)*$B$9</f>
        <v>0</v>
      </c>
      <c r="W176" s="0" t="n">
        <f aca="false">IF(Q176=0,0,($L176+$M176)*24)*$B$9</f>
        <v>0</v>
      </c>
      <c r="X176" s="0" t="n">
        <f aca="false">IF(R176=0,0,$L176*8)*$B$9</f>
        <v>0</v>
      </c>
    </row>
    <row r="177" customFormat="false" ht="12.75" hidden="false" customHeight="false" outlineLevel="0" collapsed="false">
      <c r="A177" s="61" t="n">
        <f aca="false">Fwd_curves!A207</f>
        <v>40330</v>
      </c>
      <c r="B177" s="0" t="n">
        <f aca="false">IF($A177&lt;$B$5,0,IF($A177&gt;$B$6,0,Fwd_curves!H207))</f>
        <v>0</v>
      </c>
      <c r="C177" s="0" t="n">
        <f aca="false">IF($A177&lt;$B$5,0,IF($A177&gt;$B$6,0,Fwd_curves!J207))</f>
        <v>0</v>
      </c>
      <c r="D177" s="0" t="n">
        <f aca="false">IF($A177&lt;$B$5,0,IF($A177&gt;$B$6,0,Fwd_curves!K207))</f>
        <v>0</v>
      </c>
      <c r="E177" s="0" t="n">
        <f aca="false">IF($A177&lt;$B$5,0,IF($A177&gt;$B$6,0,Fwd_curves!L207))</f>
        <v>0</v>
      </c>
      <c r="F177" s="0" t="n">
        <f aca="false">IF($A177&lt;$B$5,0,IF($A177&gt;$B$6,0,Fwd_curves!M207))</f>
        <v>0</v>
      </c>
      <c r="G177" s="0" t="n">
        <f aca="false">IF($A177&lt;$B$5,0,IF($A177&gt;$B$6,0,Fwd_curves!N207))</f>
        <v>0</v>
      </c>
      <c r="H177" s="54" t="n">
        <f aca="false">IF($A177&lt;$B$5,0,IF($A177&gt;$B$6,0,Fwd_curves!O207))</f>
        <v>0</v>
      </c>
      <c r="I177" s="54" t="n">
        <f aca="false">IF($A177&lt;$B$5,0,IF($A177&gt;$B$6,0,Fwd_curves!P207))</f>
        <v>0</v>
      </c>
      <c r="J177" s="0" t="n">
        <f aca="false">IF($A177&lt;$B$5,0,IF($A177&gt;$B$6,0,Fwd_curves!Q207))</f>
        <v>0</v>
      </c>
      <c r="K177" s="0" t="n">
        <f aca="false">IF(B177=0,0,$B$9*B177)</f>
        <v>0</v>
      </c>
      <c r="L177" s="56" t="n">
        <f aca="false">external_curves!AB137</f>
        <v>22</v>
      </c>
      <c r="M177" s="56" t="n">
        <f aca="false">external_curves!AA137</f>
        <v>8</v>
      </c>
      <c r="N177" s="138" t="n">
        <f aca="false">(L177*16*$K177)</f>
        <v>0</v>
      </c>
      <c r="O177" s="138" t="n">
        <f aca="false">(L177*13*$K177)</f>
        <v>0</v>
      </c>
      <c r="P177" s="138" t="n">
        <f aca="false">(M177*24*$K177)</f>
        <v>0</v>
      </c>
      <c r="Q177" s="138" t="n">
        <f aca="false">((L177+M177)*K177)*24</f>
        <v>0</v>
      </c>
      <c r="R177" s="0" t="n">
        <f aca="false">L177*8*K177</f>
        <v>0</v>
      </c>
      <c r="T177" s="0" t="n">
        <f aca="false">IF(N177=0,0,$L177*16)*$B$9</f>
        <v>0</v>
      </c>
      <c r="U177" s="0" t="n">
        <f aca="false">IF(O177=0,0,$L177*13)*$B$9</f>
        <v>0</v>
      </c>
      <c r="V177" s="0" t="n">
        <f aca="false">IF(P177=0,0,$M177*24)*$B$9</f>
        <v>0</v>
      </c>
      <c r="W177" s="0" t="n">
        <f aca="false">IF(Q177=0,0,($L177+$M177)*24)*$B$9</f>
        <v>0</v>
      </c>
      <c r="X177" s="0" t="n">
        <f aca="false">IF(R177=0,0,$L177*8)*$B$9</f>
        <v>0</v>
      </c>
    </row>
    <row r="178" customFormat="false" ht="12.75" hidden="false" customHeight="false" outlineLevel="0" collapsed="false">
      <c r="A178" s="61" t="n">
        <f aca="false">Fwd_curves!A208</f>
        <v>40360</v>
      </c>
      <c r="B178" s="0" t="n">
        <f aca="false">IF($A178&lt;$B$5,0,IF($A178&gt;$B$6,0,Fwd_curves!H208))</f>
        <v>0</v>
      </c>
      <c r="C178" s="0" t="n">
        <f aca="false">IF($A178&lt;$B$5,0,IF($A178&gt;$B$6,0,Fwd_curves!J208))</f>
        <v>0</v>
      </c>
      <c r="D178" s="0" t="n">
        <f aca="false">IF($A178&lt;$B$5,0,IF($A178&gt;$B$6,0,Fwd_curves!K208))</f>
        <v>0</v>
      </c>
      <c r="E178" s="0" t="n">
        <f aca="false">IF($A178&lt;$B$5,0,IF($A178&gt;$B$6,0,Fwd_curves!L208))</f>
        <v>0</v>
      </c>
      <c r="F178" s="0" t="n">
        <f aca="false">IF($A178&lt;$B$5,0,IF($A178&gt;$B$6,0,Fwd_curves!M208))</f>
        <v>0</v>
      </c>
      <c r="G178" s="0" t="n">
        <f aca="false">IF($A178&lt;$B$5,0,IF($A178&gt;$B$6,0,Fwd_curves!N208))</f>
        <v>0</v>
      </c>
      <c r="H178" s="54" t="n">
        <f aca="false">IF($A178&lt;$B$5,0,IF($A178&gt;$B$6,0,Fwd_curves!O208))</f>
        <v>0</v>
      </c>
      <c r="I178" s="54" t="n">
        <f aca="false">IF($A178&lt;$B$5,0,IF($A178&gt;$B$6,0,Fwd_curves!P208))</f>
        <v>0</v>
      </c>
      <c r="J178" s="0" t="n">
        <f aca="false">IF($A178&lt;$B$5,0,IF($A178&gt;$B$6,0,Fwd_curves!Q208))</f>
        <v>0</v>
      </c>
      <c r="K178" s="0" t="n">
        <f aca="false">IF(B178=0,0,$B$9*B178)</f>
        <v>0</v>
      </c>
      <c r="L178" s="56" t="n">
        <f aca="false">external_curves!AB138</f>
        <v>21</v>
      </c>
      <c r="M178" s="56" t="n">
        <f aca="false">external_curves!AA138</f>
        <v>10</v>
      </c>
      <c r="N178" s="138" t="n">
        <f aca="false">(L178*16*$K178)</f>
        <v>0</v>
      </c>
      <c r="O178" s="138" t="n">
        <f aca="false">(L178*13*$K178)</f>
        <v>0</v>
      </c>
      <c r="P178" s="138" t="n">
        <f aca="false">(M178*24*$K178)</f>
        <v>0</v>
      </c>
      <c r="Q178" s="138" t="n">
        <f aca="false">((L178+M178)*K178)*24</f>
        <v>0</v>
      </c>
      <c r="R178" s="0" t="n">
        <f aca="false">L178*8*K178</f>
        <v>0</v>
      </c>
      <c r="T178" s="0" t="n">
        <f aca="false">IF(N178=0,0,$L178*16)*$B$9</f>
        <v>0</v>
      </c>
      <c r="U178" s="0" t="n">
        <f aca="false">IF(O178=0,0,$L178*13)*$B$9</f>
        <v>0</v>
      </c>
      <c r="V178" s="0" t="n">
        <f aca="false">IF(P178=0,0,$M178*24)*$B$9</f>
        <v>0</v>
      </c>
      <c r="W178" s="0" t="n">
        <f aca="false">IF(Q178=0,0,($L178+$M178)*24)*$B$9</f>
        <v>0</v>
      </c>
      <c r="X178" s="0" t="n">
        <f aca="false">IF(R178=0,0,$L178*8)*$B$9</f>
        <v>0</v>
      </c>
    </row>
    <row r="179" customFormat="false" ht="12.75" hidden="false" customHeight="false" outlineLevel="0" collapsed="false">
      <c r="A179" s="61" t="n">
        <f aca="false">Fwd_curves!A209</f>
        <v>40391</v>
      </c>
      <c r="B179" s="0" t="n">
        <f aca="false">IF($A179&lt;$B$5,0,IF($A179&gt;$B$6,0,Fwd_curves!H209))</f>
        <v>0</v>
      </c>
      <c r="C179" s="0" t="n">
        <f aca="false">IF($A179&lt;$B$5,0,IF($A179&gt;$B$6,0,Fwd_curves!J209))</f>
        <v>0</v>
      </c>
      <c r="D179" s="0" t="n">
        <f aca="false">IF($A179&lt;$B$5,0,IF($A179&gt;$B$6,0,Fwd_curves!K209))</f>
        <v>0</v>
      </c>
      <c r="E179" s="0" t="n">
        <f aca="false">IF($A179&lt;$B$5,0,IF($A179&gt;$B$6,0,Fwd_curves!L209))</f>
        <v>0</v>
      </c>
      <c r="F179" s="0" t="n">
        <f aca="false">IF($A179&lt;$B$5,0,IF($A179&gt;$B$6,0,Fwd_curves!M209))</f>
        <v>0</v>
      </c>
      <c r="G179" s="0" t="n">
        <f aca="false">IF($A179&lt;$B$5,0,IF($A179&gt;$B$6,0,Fwd_curves!N209))</f>
        <v>0</v>
      </c>
      <c r="H179" s="54" t="n">
        <f aca="false">IF($A179&lt;$B$5,0,IF($A179&gt;$B$6,0,Fwd_curves!O209))</f>
        <v>0</v>
      </c>
      <c r="I179" s="54" t="n">
        <f aca="false">IF($A179&lt;$B$5,0,IF($A179&gt;$B$6,0,Fwd_curves!P209))</f>
        <v>0</v>
      </c>
      <c r="J179" s="0" t="n">
        <f aca="false">IF($A179&lt;$B$5,0,IF($A179&gt;$B$6,0,Fwd_curves!Q209))</f>
        <v>0</v>
      </c>
      <c r="K179" s="0" t="n">
        <f aca="false">IF(B179=0,0,$B$9*B179)</f>
        <v>0</v>
      </c>
      <c r="L179" s="56" t="n">
        <f aca="false">external_curves!AB139</f>
        <v>23</v>
      </c>
      <c r="M179" s="56" t="n">
        <f aca="false">external_curves!AA139</f>
        <v>8</v>
      </c>
      <c r="N179" s="138" t="n">
        <f aca="false">(L179*16*$K179)</f>
        <v>0</v>
      </c>
      <c r="O179" s="138" t="n">
        <f aca="false">(L179*13*$K179)</f>
        <v>0</v>
      </c>
      <c r="P179" s="138" t="n">
        <f aca="false">(M179*24*$K179)</f>
        <v>0</v>
      </c>
      <c r="Q179" s="138" t="n">
        <f aca="false">((L179+M179)*K179)*24</f>
        <v>0</v>
      </c>
      <c r="R179" s="0" t="n">
        <f aca="false">L179*8*K179</f>
        <v>0</v>
      </c>
      <c r="T179" s="0" t="n">
        <f aca="false">IF(N179=0,0,$L179*16)*$B$9</f>
        <v>0</v>
      </c>
      <c r="U179" s="0" t="n">
        <f aca="false">IF(O179=0,0,$L179*13)*$B$9</f>
        <v>0</v>
      </c>
      <c r="V179" s="0" t="n">
        <f aca="false">IF(P179=0,0,$M179*24)*$B$9</f>
        <v>0</v>
      </c>
      <c r="W179" s="0" t="n">
        <f aca="false">IF(Q179=0,0,($L179+$M179)*24)*$B$9</f>
        <v>0</v>
      </c>
      <c r="X179" s="0" t="n">
        <f aca="false">IF(R179=0,0,$L179*8)*$B$9</f>
        <v>0</v>
      </c>
    </row>
    <row r="180" customFormat="false" ht="12.75" hidden="false" customHeight="false" outlineLevel="0" collapsed="false">
      <c r="A180" s="61" t="n">
        <f aca="false">Fwd_curves!A210</f>
        <v>40422</v>
      </c>
      <c r="B180" s="0" t="n">
        <f aca="false">IF($A180&lt;$B$5,0,IF($A180&gt;$B$6,0,Fwd_curves!H210))</f>
        <v>0</v>
      </c>
      <c r="C180" s="0" t="n">
        <f aca="false">IF($A180&lt;$B$5,0,IF($A180&gt;$B$6,0,Fwd_curves!J210))</f>
        <v>0</v>
      </c>
      <c r="D180" s="0" t="n">
        <f aca="false">IF($A180&lt;$B$5,0,IF($A180&gt;$B$6,0,Fwd_curves!K210))</f>
        <v>0</v>
      </c>
      <c r="E180" s="0" t="n">
        <f aca="false">IF($A180&lt;$B$5,0,IF($A180&gt;$B$6,0,Fwd_curves!L210))</f>
        <v>0</v>
      </c>
      <c r="F180" s="0" t="n">
        <f aca="false">IF($A180&lt;$B$5,0,IF($A180&gt;$B$6,0,Fwd_curves!M210))</f>
        <v>0</v>
      </c>
      <c r="G180" s="0" t="n">
        <f aca="false">IF($A180&lt;$B$5,0,IF($A180&gt;$B$6,0,Fwd_curves!N210))</f>
        <v>0</v>
      </c>
      <c r="H180" s="54" t="n">
        <f aca="false">IF($A180&lt;$B$5,0,IF($A180&gt;$B$6,0,Fwd_curves!O210))</f>
        <v>0</v>
      </c>
      <c r="I180" s="54" t="n">
        <f aca="false">IF($A180&lt;$B$5,0,IF($A180&gt;$B$6,0,Fwd_curves!P210))</f>
        <v>0</v>
      </c>
      <c r="J180" s="0" t="n">
        <f aca="false">IF($A180&lt;$B$5,0,IF($A180&gt;$B$6,0,Fwd_curves!Q210))</f>
        <v>0</v>
      </c>
      <c r="K180" s="0" t="n">
        <f aca="false">IF(B180=0,0,$B$9*B180)</f>
        <v>0</v>
      </c>
      <c r="L180" s="56" t="n">
        <f aca="false">external_curves!AB140</f>
        <v>22</v>
      </c>
      <c r="M180" s="56" t="n">
        <f aca="false">external_curves!AA140</f>
        <v>8</v>
      </c>
      <c r="N180" s="138" t="n">
        <f aca="false">(L180*16*$K180)</f>
        <v>0</v>
      </c>
      <c r="O180" s="138" t="n">
        <f aca="false">(L180*13*$K180)</f>
        <v>0</v>
      </c>
      <c r="P180" s="138" t="n">
        <f aca="false">(M180*24*$K180)</f>
        <v>0</v>
      </c>
      <c r="Q180" s="138" t="n">
        <f aca="false">((L180+M180)*K180)*24</f>
        <v>0</v>
      </c>
      <c r="R180" s="0" t="n">
        <f aca="false">L180*8*K180</f>
        <v>0</v>
      </c>
      <c r="T180" s="0" t="n">
        <f aca="false">IF(N180=0,0,$L180*16)*$B$9</f>
        <v>0</v>
      </c>
      <c r="U180" s="0" t="n">
        <f aca="false">IF(O180=0,0,$L180*13)*$B$9</f>
        <v>0</v>
      </c>
      <c r="V180" s="0" t="n">
        <f aca="false">IF(P180=0,0,$M180*24)*$B$9</f>
        <v>0</v>
      </c>
      <c r="W180" s="0" t="n">
        <f aca="false">IF(Q180=0,0,($L180+$M180)*24)*$B$9</f>
        <v>0</v>
      </c>
      <c r="X180" s="0" t="n">
        <f aca="false">IF(R180=0,0,$L180*8)*$B$9</f>
        <v>0</v>
      </c>
    </row>
    <row r="181" customFormat="false" ht="12.75" hidden="false" customHeight="false" outlineLevel="0" collapsed="false">
      <c r="A181" s="61" t="n">
        <f aca="false">Fwd_curves!A211</f>
        <v>40452</v>
      </c>
      <c r="B181" s="0" t="n">
        <f aca="false">IF($A181&lt;$B$5,0,IF($A181&gt;$B$6,0,Fwd_curves!H211))</f>
        <v>0</v>
      </c>
      <c r="C181" s="0" t="n">
        <f aca="false">IF($A181&lt;$B$5,0,IF($A181&gt;$B$6,0,Fwd_curves!J211))</f>
        <v>0</v>
      </c>
      <c r="D181" s="0" t="n">
        <f aca="false">IF($A181&lt;$B$5,0,IF($A181&gt;$B$6,0,Fwd_curves!K211))</f>
        <v>0</v>
      </c>
      <c r="E181" s="0" t="n">
        <f aca="false">IF($A181&lt;$B$5,0,IF($A181&gt;$B$6,0,Fwd_curves!L211))</f>
        <v>0</v>
      </c>
      <c r="F181" s="0" t="n">
        <f aca="false">IF($A181&lt;$B$5,0,IF($A181&gt;$B$6,0,Fwd_curves!M211))</f>
        <v>0</v>
      </c>
      <c r="G181" s="0" t="n">
        <f aca="false">IF($A181&lt;$B$5,0,IF($A181&gt;$B$6,0,Fwd_curves!N211))</f>
        <v>0</v>
      </c>
      <c r="H181" s="54" t="n">
        <f aca="false">IF($A181&lt;$B$5,0,IF($A181&gt;$B$6,0,Fwd_curves!O211))</f>
        <v>0</v>
      </c>
      <c r="I181" s="54" t="n">
        <f aca="false">IF($A181&lt;$B$5,0,IF($A181&gt;$B$6,0,Fwd_curves!P211))</f>
        <v>0</v>
      </c>
      <c r="J181" s="0" t="n">
        <f aca="false">IF($A181&lt;$B$5,0,IF($A181&gt;$B$6,0,Fwd_curves!Q211))</f>
        <v>0</v>
      </c>
      <c r="K181" s="0" t="n">
        <f aca="false">IF(B181=0,0,$B$9*B181)</f>
        <v>0</v>
      </c>
      <c r="L181" s="56" t="n">
        <f aca="false">external_curves!AB141</f>
        <v>21</v>
      </c>
      <c r="M181" s="56" t="n">
        <f aca="false">external_curves!AA141</f>
        <v>10</v>
      </c>
      <c r="N181" s="138" t="n">
        <f aca="false">(L181*16*$K181)</f>
        <v>0</v>
      </c>
      <c r="O181" s="138" t="n">
        <f aca="false">(L181*13*$K181)</f>
        <v>0</v>
      </c>
      <c r="P181" s="138" t="n">
        <f aca="false">(M181*24*$K181)</f>
        <v>0</v>
      </c>
      <c r="Q181" s="138" t="n">
        <f aca="false">((L181+M181)*K181)*24</f>
        <v>0</v>
      </c>
      <c r="R181" s="0" t="n">
        <f aca="false">L181*8*K181</f>
        <v>0</v>
      </c>
      <c r="T181" s="0" t="n">
        <f aca="false">IF(N181=0,0,$L181*16)*$B$9</f>
        <v>0</v>
      </c>
      <c r="U181" s="0" t="n">
        <f aca="false">IF(O181=0,0,$L181*13)*$B$9</f>
        <v>0</v>
      </c>
      <c r="V181" s="0" t="n">
        <f aca="false">IF(P181=0,0,$M181*24)*$B$9</f>
        <v>0</v>
      </c>
      <c r="W181" s="0" t="n">
        <f aca="false">IF(Q181=0,0,($L181+$M181)*24)*$B$9</f>
        <v>0</v>
      </c>
      <c r="X181" s="0" t="n">
        <f aca="false">IF(R181=0,0,$L181*8)*$B$9</f>
        <v>0</v>
      </c>
    </row>
    <row r="182" customFormat="false" ht="12.75" hidden="false" customHeight="false" outlineLevel="0" collapsed="false">
      <c r="A182" s="61" t="n">
        <f aca="false">Fwd_curves!A212</f>
        <v>40483</v>
      </c>
      <c r="B182" s="0" t="n">
        <f aca="false">IF($A182&lt;$B$5,0,IF($A182&gt;$B$6,0,Fwd_curves!H212))</f>
        <v>0</v>
      </c>
      <c r="C182" s="0" t="n">
        <f aca="false">IF($A182&lt;$B$5,0,IF($A182&gt;$B$6,0,Fwd_curves!J212))</f>
        <v>0</v>
      </c>
      <c r="D182" s="0" t="n">
        <f aca="false">IF($A182&lt;$B$5,0,IF($A182&gt;$B$6,0,Fwd_curves!K212))</f>
        <v>0</v>
      </c>
      <c r="E182" s="0" t="n">
        <f aca="false">IF($A182&lt;$B$5,0,IF($A182&gt;$B$6,0,Fwd_curves!L212))</f>
        <v>0</v>
      </c>
      <c r="F182" s="0" t="n">
        <f aca="false">IF($A182&lt;$B$5,0,IF($A182&gt;$B$6,0,Fwd_curves!M212))</f>
        <v>0</v>
      </c>
      <c r="G182" s="0" t="n">
        <f aca="false">IF($A182&lt;$B$5,0,IF($A182&gt;$B$6,0,Fwd_curves!N212))</f>
        <v>0</v>
      </c>
      <c r="H182" s="54" t="n">
        <f aca="false">IF($A182&lt;$B$5,0,IF($A182&gt;$B$6,0,Fwd_curves!O212))</f>
        <v>0</v>
      </c>
      <c r="I182" s="54" t="n">
        <f aca="false">IF($A182&lt;$B$5,0,IF($A182&gt;$B$6,0,Fwd_curves!P212))</f>
        <v>0</v>
      </c>
      <c r="J182" s="0" t="n">
        <f aca="false">IF($A182&lt;$B$5,0,IF($A182&gt;$B$6,0,Fwd_curves!Q212))</f>
        <v>0</v>
      </c>
      <c r="K182" s="0" t="n">
        <f aca="false">IF(B182=0,0,$B$9*B182)</f>
        <v>0</v>
      </c>
      <c r="L182" s="56" t="n">
        <f aca="false">external_curves!AB142</f>
        <v>22</v>
      </c>
      <c r="M182" s="56" t="n">
        <f aca="false">external_curves!AA142</f>
        <v>8</v>
      </c>
      <c r="N182" s="138" t="n">
        <f aca="false">(L182*16*$K182)</f>
        <v>0</v>
      </c>
      <c r="O182" s="138" t="n">
        <f aca="false">(L182*13*$K182)</f>
        <v>0</v>
      </c>
      <c r="P182" s="138" t="n">
        <f aca="false">(M182*24*$K182)</f>
        <v>0</v>
      </c>
      <c r="Q182" s="138" t="n">
        <f aca="false">((L182+M182)*K182)*24</f>
        <v>0</v>
      </c>
      <c r="R182" s="0" t="n">
        <f aca="false">L182*8*K182</f>
        <v>0</v>
      </c>
      <c r="T182" s="0" t="n">
        <f aca="false">IF(N182=0,0,$L182*16)*$B$9</f>
        <v>0</v>
      </c>
      <c r="U182" s="0" t="n">
        <f aca="false">IF(O182=0,0,$L182*13)*$B$9</f>
        <v>0</v>
      </c>
      <c r="V182" s="0" t="n">
        <f aca="false">IF(P182=0,0,$M182*24)*$B$9</f>
        <v>0</v>
      </c>
      <c r="W182" s="0" t="n">
        <f aca="false">IF(Q182=0,0,($L182+$M182)*24)*$B$9</f>
        <v>0</v>
      </c>
      <c r="X182" s="0" t="n">
        <f aca="false">IF(R182=0,0,$L182*8)*$B$9</f>
        <v>0</v>
      </c>
    </row>
    <row r="183" customFormat="false" ht="12.75" hidden="false" customHeight="false" outlineLevel="0" collapsed="false">
      <c r="A183" s="61" t="n">
        <f aca="false">Fwd_curves!A213</f>
        <v>40513</v>
      </c>
      <c r="B183" s="0" t="n">
        <f aca="false">IF($A183&lt;$B$5,0,IF($A183&gt;$B$6,0,Fwd_curves!H213))</f>
        <v>0</v>
      </c>
      <c r="C183" s="0" t="n">
        <f aca="false">IF($A183&lt;$B$5,0,IF($A183&gt;$B$6,0,Fwd_curves!J213))</f>
        <v>0</v>
      </c>
      <c r="D183" s="0" t="n">
        <f aca="false">IF($A183&lt;$B$5,0,IF($A183&gt;$B$6,0,Fwd_curves!K213))</f>
        <v>0</v>
      </c>
      <c r="E183" s="0" t="n">
        <f aca="false">IF($A183&lt;$B$5,0,IF($A183&gt;$B$6,0,Fwd_curves!L213))</f>
        <v>0</v>
      </c>
      <c r="F183" s="0" t="n">
        <f aca="false">IF($A183&lt;$B$5,0,IF($A183&gt;$B$6,0,Fwd_curves!M213))</f>
        <v>0</v>
      </c>
      <c r="G183" s="0" t="n">
        <f aca="false">IF($A183&lt;$B$5,0,IF($A183&gt;$B$6,0,Fwd_curves!N213))</f>
        <v>0</v>
      </c>
      <c r="H183" s="54" t="n">
        <f aca="false">IF($A183&lt;$B$5,0,IF($A183&gt;$B$6,0,Fwd_curves!O213))</f>
        <v>0</v>
      </c>
      <c r="I183" s="54" t="n">
        <f aca="false">IF($A183&lt;$B$5,0,IF($A183&gt;$B$6,0,Fwd_curves!P213))</f>
        <v>0</v>
      </c>
      <c r="J183" s="0" t="n">
        <f aca="false">IF($A183&lt;$B$5,0,IF($A183&gt;$B$6,0,Fwd_curves!Q213))</f>
        <v>0</v>
      </c>
      <c r="K183" s="0" t="n">
        <f aca="false">IF(B183=0,0,$B$9*B183)</f>
        <v>0</v>
      </c>
      <c r="L183" s="56" t="n">
        <f aca="false">external_curves!AB143</f>
        <v>22</v>
      </c>
      <c r="M183" s="56" t="n">
        <f aca="false">external_curves!AA143</f>
        <v>9</v>
      </c>
      <c r="N183" s="138" t="n">
        <f aca="false">(L183*16*$K183)</f>
        <v>0</v>
      </c>
      <c r="O183" s="138" t="n">
        <f aca="false">(L183*13*$K183)</f>
        <v>0</v>
      </c>
      <c r="P183" s="138" t="n">
        <f aca="false">(M183*24*$K183)</f>
        <v>0</v>
      </c>
      <c r="Q183" s="138" t="n">
        <f aca="false">((L183+M183)*K183)*24</f>
        <v>0</v>
      </c>
      <c r="R183" s="0" t="n">
        <f aca="false">L183*8*K183</f>
        <v>0</v>
      </c>
      <c r="T183" s="0" t="n">
        <f aca="false">IF(N183=0,0,$L183*16)*$B$9</f>
        <v>0</v>
      </c>
      <c r="U183" s="0" t="n">
        <f aca="false">IF(O183=0,0,$L183*13)*$B$9</f>
        <v>0</v>
      </c>
      <c r="V183" s="0" t="n">
        <f aca="false">IF(P183=0,0,$M183*24)*$B$9</f>
        <v>0</v>
      </c>
      <c r="W183" s="0" t="n">
        <f aca="false">IF(Q183=0,0,($L183+$M183)*24)*$B$9</f>
        <v>0</v>
      </c>
      <c r="X183" s="0" t="n">
        <f aca="false">IF(R183=0,0,$L183*8)*$B$9</f>
        <v>0</v>
      </c>
    </row>
    <row r="184" customFormat="false" ht="12.75" hidden="false" customHeight="false" outlineLevel="0" collapsed="false">
      <c r="A184" s="61" t="n">
        <f aca="false">Fwd_curves!A214</f>
        <v>40544</v>
      </c>
      <c r="B184" s="0" t="n">
        <f aca="false">IF($A184&lt;$B$5,0,IF($A184&gt;$B$6,0,Fwd_curves!H214))</f>
        <v>0</v>
      </c>
      <c r="C184" s="0" t="n">
        <f aca="false">IF($A184&lt;$B$5,0,IF($A184&gt;$B$6,0,Fwd_curves!J214))</f>
        <v>0</v>
      </c>
      <c r="D184" s="0" t="n">
        <f aca="false">IF($A184&lt;$B$5,0,IF($A184&gt;$B$6,0,Fwd_curves!K214))</f>
        <v>0</v>
      </c>
      <c r="E184" s="0" t="n">
        <f aca="false">IF($A184&lt;$B$5,0,IF($A184&gt;$B$6,0,Fwd_curves!L214))</f>
        <v>0</v>
      </c>
      <c r="F184" s="0" t="n">
        <f aca="false">IF($A184&lt;$B$5,0,IF($A184&gt;$B$6,0,Fwd_curves!M214))</f>
        <v>0</v>
      </c>
      <c r="G184" s="0" t="n">
        <f aca="false">IF($A184&lt;$B$5,0,IF($A184&gt;$B$6,0,Fwd_curves!N214))</f>
        <v>0</v>
      </c>
      <c r="H184" s="54" t="n">
        <f aca="false">IF($A184&lt;$B$5,0,IF($A184&gt;$B$6,0,Fwd_curves!O214))</f>
        <v>0</v>
      </c>
      <c r="I184" s="54" t="n">
        <f aca="false">IF($A184&lt;$B$5,0,IF($A184&gt;$B$6,0,Fwd_curves!P214))</f>
        <v>0</v>
      </c>
      <c r="J184" s="0" t="n">
        <f aca="false">IF($A184&lt;$B$5,0,IF($A184&gt;$B$6,0,Fwd_curves!Q214))</f>
        <v>0</v>
      </c>
      <c r="K184" s="0" t="n">
        <f aca="false">IF(B184=0,0,$B$9*B184)</f>
        <v>0</v>
      </c>
      <c r="L184" s="56" t="n">
        <f aca="false">external_curves!AB144</f>
        <v>21</v>
      </c>
      <c r="M184" s="56" t="n">
        <f aca="false">external_curves!AA144</f>
        <v>10</v>
      </c>
      <c r="N184" s="138" t="n">
        <f aca="false">(L184*16*$K184)</f>
        <v>0</v>
      </c>
      <c r="O184" s="138" t="n">
        <f aca="false">(L184*13*$K184)</f>
        <v>0</v>
      </c>
      <c r="P184" s="138" t="n">
        <f aca="false">(M184*24*$K184)</f>
        <v>0</v>
      </c>
      <c r="Q184" s="138" t="n">
        <f aca="false">((L184+M184)*K184)*24</f>
        <v>0</v>
      </c>
      <c r="R184" s="0" t="n">
        <f aca="false">L184*8*K184</f>
        <v>0</v>
      </c>
      <c r="T184" s="0" t="n">
        <f aca="false">IF(N184=0,0,$L184*16)*$B$9</f>
        <v>0</v>
      </c>
      <c r="U184" s="0" t="n">
        <f aca="false">IF(O184=0,0,$L184*13)*$B$9</f>
        <v>0</v>
      </c>
      <c r="V184" s="0" t="n">
        <f aca="false">IF(P184=0,0,$M184*24)*$B$9</f>
        <v>0</v>
      </c>
      <c r="W184" s="0" t="n">
        <f aca="false">IF(Q184=0,0,($L184+$M184)*24)*$B$9</f>
        <v>0</v>
      </c>
      <c r="X184" s="0" t="n">
        <f aca="false">IF(R184=0,0,$L184*8)*$B$9</f>
        <v>0</v>
      </c>
    </row>
    <row r="185" customFormat="false" ht="12.75" hidden="false" customHeight="false" outlineLevel="0" collapsed="false">
      <c r="A185" s="61" t="n">
        <f aca="false">Fwd_curves!A215</f>
        <v>40575</v>
      </c>
      <c r="B185" s="0" t="n">
        <f aca="false">IF($A185&lt;$B$5,0,IF($A185&gt;$B$6,0,Fwd_curves!H215))</f>
        <v>0</v>
      </c>
      <c r="C185" s="0" t="n">
        <f aca="false">IF($A185&lt;$B$5,0,IF($A185&gt;$B$6,0,Fwd_curves!J215))</f>
        <v>0</v>
      </c>
      <c r="D185" s="0" t="n">
        <f aca="false">IF($A185&lt;$B$5,0,IF($A185&gt;$B$6,0,Fwd_curves!K215))</f>
        <v>0</v>
      </c>
      <c r="E185" s="0" t="n">
        <f aca="false">IF($A185&lt;$B$5,0,IF($A185&gt;$B$6,0,Fwd_curves!L215))</f>
        <v>0</v>
      </c>
      <c r="F185" s="0" t="n">
        <f aca="false">IF($A185&lt;$B$5,0,IF($A185&gt;$B$6,0,Fwd_curves!M215))</f>
        <v>0</v>
      </c>
      <c r="G185" s="0" t="n">
        <f aca="false">IF($A185&lt;$B$5,0,IF($A185&gt;$B$6,0,Fwd_curves!N215))</f>
        <v>0</v>
      </c>
      <c r="H185" s="54" t="n">
        <f aca="false">IF($A185&lt;$B$5,0,IF($A185&gt;$B$6,0,Fwd_curves!O215))</f>
        <v>0</v>
      </c>
      <c r="I185" s="54" t="n">
        <f aca="false">IF($A185&lt;$B$5,0,IF($A185&gt;$B$6,0,Fwd_curves!P215))</f>
        <v>0</v>
      </c>
      <c r="J185" s="0" t="n">
        <f aca="false">IF($A185&lt;$B$5,0,IF($A185&gt;$B$6,0,Fwd_curves!Q215))</f>
        <v>0</v>
      </c>
      <c r="K185" s="0" t="n">
        <f aca="false">IF(B185=0,0,$B$9*B185)</f>
        <v>0</v>
      </c>
      <c r="L185" s="56" t="n">
        <f aca="false">external_curves!AB145</f>
        <v>20</v>
      </c>
      <c r="M185" s="56" t="n">
        <f aca="false">external_curves!AA145</f>
        <v>8</v>
      </c>
      <c r="N185" s="138" t="n">
        <f aca="false">(L185*16*$K185)</f>
        <v>0</v>
      </c>
      <c r="O185" s="138" t="n">
        <f aca="false">(L185*13*$K185)</f>
        <v>0</v>
      </c>
      <c r="P185" s="138" t="n">
        <f aca="false">(M185*24*$K185)</f>
        <v>0</v>
      </c>
      <c r="Q185" s="138" t="n">
        <f aca="false">((L185+M185)*K185)*24</f>
        <v>0</v>
      </c>
      <c r="R185" s="0" t="n">
        <f aca="false">L185*8*K185</f>
        <v>0</v>
      </c>
      <c r="T185" s="0" t="n">
        <f aca="false">IF(N185=0,0,$L185*16)*$B$9</f>
        <v>0</v>
      </c>
      <c r="U185" s="0" t="n">
        <f aca="false">IF(O185=0,0,$L185*13)*$B$9</f>
        <v>0</v>
      </c>
      <c r="V185" s="0" t="n">
        <f aca="false">IF(P185=0,0,$M185*24)*$B$9</f>
        <v>0</v>
      </c>
      <c r="W185" s="0" t="n">
        <f aca="false">IF(Q185=0,0,($L185+$M185)*24)*$B$9</f>
        <v>0</v>
      </c>
      <c r="X185" s="0" t="n">
        <f aca="false">IF(R185=0,0,$L185*8)*$B$9</f>
        <v>0</v>
      </c>
    </row>
    <row r="186" customFormat="false" ht="12.75" hidden="false" customHeight="false" outlineLevel="0" collapsed="false">
      <c r="A186" s="61" t="n">
        <f aca="false">Fwd_curves!A216</f>
        <v>40603</v>
      </c>
      <c r="B186" s="0" t="n">
        <f aca="false">IF($A186&lt;$B$5,0,IF($A186&gt;$B$6,0,Fwd_curves!H216))</f>
        <v>0</v>
      </c>
      <c r="C186" s="0" t="n">
        <f aca="false">IF($A186&lt;$B$5,0,IF($A186&gt;$B$6,0,Fwd_curves!J216))</f>
        <v>0</v>
      </c>
      <c r="D186" s="0" t="n">
        <f aca="false">IF($A186&lt;$B$5,0,IF($A186&gt;$B$6,0,Fwd_curves!K216))</f>
        <v>0</v>
      </c>
      <c r="E186" s="0" t="n">
        <f aca="false">IF($A186&lt;$B$5,0,IF($A186&gt;$B$6,0,Fwd_curves!L216))</f>
        <v>0</v>
      </c>
      <c r="F186" s="0" t="n">
        <f aca="false">IF($A186&lt;$B$5,0,IF($A186&gt;$B$6,0,Fwd_curves!M216))</f>
        <v>0</v>
      </c>
      <c r="G186" s="0" t="n">
        <f aca="false">IF($A186&lt;$B$5,0,IF($A186&gt;$B$6,0,Fwd_curves!N216))</f>
        <v>0</v>
      </c>
      <c r="H186" s="54" t="n">
        <f aca="false">IF($A186&lt;$B$5,0,IF($A186&gt;$B$6,0,Fwd_curves!O216))</f>
        <v>0</v>
      </c>
      <c r="I186" s="54" t="n">
        <f aca="false">IF($A186&lt;$B$5,0,IF($A186&gt;$B$6,0,Fwd_curves!P216))</f>
        <v>0</v>
      </c>
      <c r="J186" s="0" t="n">
        <f aca="false">IF($A186&lt;$B$5,0,IF($A186&gt;$B$6,0,Fwd_curves!Q216))</f>
        <v>0</v>
      </c>
      <c r="K186" s="0" t="n">
        <f aca="false">IF(B186=0,0,$B$9*B186)</f>
        <v>0</v>
      </c>
      <c r="L186" s="56" t="n">
        <f aca="false">external_curves!AB146</f>
        <v>23</v>
      </c>
      <c r="M186" s="56" t="n">
        <f aca="false">external_curves!AA146</f>
        <v>8</v>
      </c>
      <c r="N186" s="138" t="n">
        <f aca="false">(L186*16*$K186)</f>
        <v>0</v>
      </c>
      <c r="O186" s="138" t="n">
        <f aca="false">(L186*13*$K186)</f>
        <v>0</v>
      </c>
      <c r="P186" s="138" t="n">
        <f aca="false">(M186*24*$K186)</f>
        <v>0</v>
      </c>
      <c r="Q186" s="138" t="n">
        <f aca="false">((L186+M186)*K186)*24</f>
        <v>0</v>
      </c>
      <c r="R186" s="0" t="n">
        <f aca="false">L186*8*K186</f>
        <v>0</v>
      </c>
      <c r="T186" s="0" t="n">
        <f aca="false">IF(N186=0,0,$L186*16)*$B$9</f>
        <v>0</v>
      </c>
      <c r="U186" s="0" t="n">
        <f aca="false">IF(O186=0,0,$L186*13)*$B$9</f>
        <v>0</v>
      </c>
      <c r="V186" s="0" t="n">
        <f aca="false">IF(P186=0,0,$M186*24)*$B$9</f>
        <v>0</v>
      </c>
      <c r="W186" s="0" t="n">
        <f aca="false">IF(Q186=0,0,($L186+$M186)*24)*$B$9</f>
        <v>0</v>
      </c>
      <c r="X186" s="0" t="n">
        <f aca="false">IF(R186=0,0,$L186*8)*$B$9</f>
        <v>0</v>
      </c>
    </row>
    <row r="187" customFormat="false" ht="12.75" hidden="false" customHeight="false" outlineLevel="0" collapsed="false">
      <c r="A187" s="61" t="n">
        <f aca="false">Fwd_curves!A217</f>
        <v>40634</v>
      </c>
      <c r="B187" s="0" t="n">
        <f aca="false">IF($A187&lt;$B$5,0,IF($A187&gt;$B$6,0,Fwd_curves!H217))</f>
        <v>0</v>
      </c>
      <c r="C187" s="0" t="n">
        <f aca="false">IF($A187&lt;$B$5,0,IF($A187&gt;$B$6,0,Fwd_curves!J217))</f>
        <v>0</v>
      </c>
      <c r="D187" s="0" t="n">
        <f aca="false">IF($A187&lt;$B$5,0,IF($A187&gt;$B$6,0,Fwd_curves!K217))</f>
        <v>0</v>
      </c>
      <c r="E187" s="0" t="n">
        <f aca="false">IF($A187&lt;$B$5,0,IF($A187&gt;$B$6,0,Fwd_curves!L217))</f>
        <v>0</v>
      </c>
      <c r="F187" s="0" t="n">
        <f aca="false">IF($A187&lt;$B$5,0,IF($A187&gt;$B$6,0,Fwd_curves!M217))</f>
        <v>0</v>
      </c>
      <c r="G187" s="0" t="n">
        <f aca="false">IF($A187&lt;$B$5,0,IF($A187&gt;$B$6,0,Fwd_curves!N217))</f>
        <v>0</v>
      </c>
      <c r="H187" s="54" t="n">
        <f aca="false">IF($A187&lt;$B$5,0,IF($A187&gt;$B$6,0,Fwd_curves!O217))</f>
        <v>0</v>
      </c>
      <c r="I187" s="54" t="n">
        <f aca="false">IF($A187&lt;$B$5,0,IF($A187&gt;$B$6,0,Fwd_curves!P217))</f>
        <v>0</v>
      </c>
      <c r="J187" s="0" t="n">
        <f aca="false">IF($A187&lt;$B$5,0,IF($A187&gt;$B$6,0,Fwd_curves!Q217))</f>
        <v>0</v>
      </c>
      <c r="K187" s="0" t="n">
        <f aca="false">IF(B187=0,0,$B$9*B187)</f>
        <v>0</v>
      </c>
      <c r="L187" s="56" t="n">
        <f aca="false">external_curves!AB147</f>
        <v>21</v>
      </c>
      <c r="M187" s="56" t="n">
        <f aca="false">external_curves!AA147</f>
        <v>9</v>
      </c>
      <c r="N187" s="138" t="n">
        <f aca="false">(L187*16*$K187)</f>
        <v>0</v>
      </c>
      <c r="O187" s="138" t="n">
        <f aca="false">(L187*13*$K187)</f>
        <v>0</v>
      </c>
      <c r="P187" s="138" t="n">
        <f aca="false">(M187*24*$K187)</f>
        <v>0</v>
      </c>
      <c r="Q187" s="138" t="n">
        <f aca="false">((L187+M187)*K187)*24</f>
        <v>0</v>
      </c>
      <c r="R187" s="0" t="n">
        <f aca="false">L187*8*K187</f>
        <v>0</v>
      </c>
      <c r="T187" s="0" t="n">
        <f aca="false">IF(N187=0,0,$L187*16)*$B$9</f>
        <v>0</v>
      </c>
      <c r="U187" s="0" t="n">
        <f aca="false">IF(O187=0,0,$L187*13)*$B$9</f>
        <v>0</v>
      </c>
      <c r="V187" s="0" t="n">
        <f aca="false">IF(P187=0,0,$M187*24)*$B$9</f>
        <v>0</v>
      </c>
      <c r="W187" s="0" t="n">
        <f aca="false">IF(Q187=0,0,($L187+$M187)*24)*$B$9</f>
        <v>0</v>
      </c>
      <c r="X187" s="0" t="n">
        <f aca="false">IF(R187=0,0,$L187*8)*$B$9</f>
        <v>0</v>
      </c>
    </row>
    <row r="188" customFormat="false" ht="12.75" hidden="false" customHeight="false" outlineLevel="0" collapsed="false">
      <c r="A188" s="61" t="n">
        <f aca="false">Fwd_curves!A218</f>
        <v>40664</v>
      </c>
      <c r="B188" s="0" t="n">
        <f aca="false">IF($A188&lt;$B$5,0,IF($A188&gt;$B$6,0,Fwd_curves!H218))</f>
        <v>0</v>
      </c>
      <c r="C188" s="0" t="n">
        <f aca="false">IF($A188&lt;$B$5,0,IF($A188&gt;$B$6,0,Fwd_curves!J218))</f>
        <v>0</v>
      </c>
      <c r="D188" s="0" t="n">
        <f aca="false">IF($A188&lt;$B$5,0,IF($A188&gt;$B$6,0,Fwd_curves!K218))</f>
        <v>0</v>
      </c>
      <c r="E188" s="0" t="n">
        <f aca="false">IF($A188&lt;$B$5,0,IF($A188&gt;$B$6,0,Fwd_curves!L218))</f>
        <v>0</v>
      </c>
      <c r="F188" s="0" t="n">
        <f aca="false">IF($A188&lt;$B$5,0,IF($A188&gt;$B$6,0,Fwd_curves!M218))</f>
        <v>0</v>
      </c>
      <c r="G188" s="0" t="n">
        <f aca="false">IF($A188&lt;$B$5,0,IF($A188&gt;$B$6,0,Fwd_curves!N218))</f>
        <v>0</v>
      </c>
      <c r="H188" s="54" t="n">
        <f aca="false">IF($A188&lt;$B$5,0,IF($A188&gt;$B$6,0,Fwd_curves!O218))</f>
        <v>0</v>
      </c>
      <c r="I188" s="54" t="n">
        <f aca="false">IF($A188&lt;$B$5,0,IF($A188&gt;$B$6,0,Fwd_curves!P218))</f>
        <v>0</v>
      </c>
      <c r="J188" s="0" t="n">
        <f aca="false">IF($A188&lt;$B$5,0,IF($A188&gt;$B$6,0,Fwd_curves!Q218))</f>
        <v>0</v>
      </c>
      <c r="K188" s="0" t="n">
        <f aca="false">IF(B188=0,0,$B$9*B188)</f>
        <v>0</v>
      </c>
      <c r="L188" s="56" t="n">
        <f aca="false">external_curves!AB148</f>
        <v>22</v>
      </c>
      <c r="M188" s="56" t="n">
        <f aca="false">external_curves!AA148</f>
        <v>9</v>
      </c>
      <c r="N188" s="138" t="n">
        <f aca="false">(L188*16*$K188)</f>
        <v>0</v>
      </c>
      <c r="O188" s="138" t="n">
        <f aca="false">(L188*13*$K188)</f>
        <v>0</v>
      </c>
      <c r="P188" s="138" t="n">
        <f aca="false">(M188*24*$K188)</f>
        <v>0</v>
      </c>
      <c r="Q188" s="138" t="n">
        <f aca="false">((L188+M188)*K188)*24</f>
        <v>0</v>
      </c>
      <c r="R188" s="0" t="n">
        <f aca="false">L188*8*K188</f>
        <v>0</v>
      </c>
      <c r="T188" s="0" t="n">
        <f aca="false">IF(N188=0,0,$L188*16)*$B$9</f>
        <v>0</v>
      </c>
      <c r="U188" s="0" t="n">
        <f aca="false">IF(O188=0,0,$L188*13)*$B$9</f>
        <v>0</v>
      </c>
      <c r="V188" s="0" t="n">
        <f aca="false">IF(P188=0,0,$M188*24)*$B$9</f>
        <v>0</v>
      </c>
      <c r="W188" s="0" t="n">
        <f aca="false">IF(Q188=0,0,($L188+$M188)*24)*$B$9</f>
        <v>0</v>
      </c>
      <c r="X188" s="0" t="n">
        <f aca="false">IF(R188=0,0,$L188*8)*$B$9</f>
        <v>0</v>
      </c>
    </row>
    <row r="189" customFormat="false" ht="12.75" hidden="false" customHeight="false" outlineLevel="0" collapsed="false">
      <c r="A189" s="61" t="n">
        <f aca="false">Fwd_curves!A219</f>
        <v>40695</v>
      </c>
      <c r="B189" s="0" t="n">
        <f aca="false">IF($A189&lt;$B$5,0,IF($A189&gt;$B$6,0,Fwd_curves!H219))</f>
        <v>0</v>
      </c>
      <c r="C189" s="0" t="n">
        <f aca="false">IF($A189&lt;$B$5,0,IF($A189&gt;$B$6,0,Fwd_curves!J219))</f>
        <v>0</v>
      </c>
      <c r="D189" s="0" t="n">
        <f aca="false">IF($A189&lt;$B$5,0,IF($A189&gt;$B$6,0,Fwd_curves!K219))</f>
        <v>0</v>
      </c>
      <c r="E189" s="0" t="n">
        <f aca="false">IF($A189&lt;$B$5,0,IF($A189&gt;$B$6,0,Fwd_curves!L219))</f>
        <v>0</v>
      </c>
      <c r="F189" s="0" t="n">
        <f aca="false">IF($A189&lt;$B$5,0,IF($A189&gt;$B$6,0,Fwd_curves!M219))</f>
        <v>0</v>
      </c>
      <c r="G189" s="0" t="n">
        <f aca="false">IF($A189&lt;$B$5,0,IF($A189&gt;$B$6,0,Fwd_curves!N219))</f>
        <v>0</v>
      </c>
      <c r="H189" s="54" t="n">
        <f aca="false">IF($A189&lt;$B$5,0,IF($A189&gt;$B$6,0,Fwd_curves!O219))</f>
        <v>0</v>
      </c>
      <c r="I189" s="54" t="n">
        <f aca="false">IF($A189&lt;$B$5,0,IF($A189&gt;$B$6,0,Fwd_curves!P219))</f>
        <v>0</v>
      </c>
      <c r="J189" s="0" t="n">
        <f aca="false">IF($A189&lt;$B$5,0,IF($A189&gt;$B$6,0,Fwd_curves!Q219))</f>
        <v>0</v>
      </c>
      <c r="K189" s="0" t="n">
        <f aca="false">IF(B189=0,0,$B$9*B189)</f>
        <v>0</v>
      </c>
      <c r="L189" s="56" t="n">
        <f aca="false">external_curves!AB149</f>
        <v>22</v>
      </c>
      <c r="M189" s="56" t="n">
        <f aca="false">external_curves!AA149</f>
        <v>8</v>
      </c>
      <c r="N189" s="138" t="n">
        <f aca="false">(L189*16*$K189)</f>
        <v>0</v>
      </c>
      <c r="O189" s="138" t="n">
        <f aca="false">(L189*13*$K189)</f>
        <v>0</v>
      </c>
      <c r="P189" s="138" t="n">
        <f aca="false">(M189*24*$K189)</f>
        <v>0</v>
      </c>
      <c r="Q189" s="138" t="n">
        <f aca="false">((L189+M189)*K189)*24</f>
        <v>0</v>
      </c>
      <c r="R189" s="0" t="n">
        <f aca="false">L189*8*K189</f>
        <v>0</v>
      </c>
      <c r="T189" s="0" t="n">
        <f aca="false">IF(N189=0,0,$L189*16)*$B$9</f>
        <v>0</v>
      </c>
      <c r="U189" s="0" t="n">
        <f aca="false">IF(O189=0,0,$L189*13)*$B$9</f>
        <v>0</v>
      </c>
      <c r="V189" s="0" t="n">
        <f aca="false">IF(P189=0,0,$M189*24)*$B$9</f>
        <v>0</v>
      </c>
      <c r="W189" s="0" t="n">
        <f aca="false">IF(Q189=0,0,($L189+$M189)*24)*$B$9</f>
        <v>0</v>
      </c>
      <c r="X189" s="0" t="n">
        <f aca="false">IF(R189=0,0,$L189*8)*$B$9</f>
        <v>0</v>
      </c>
    </row>
    <row r="190" customFormat="false" ht="12.75" hidden="false" customHeight="false" outlineLevel="0" collapsed="false">
      <c r="A190" s="61" t="n">
        <f aca="false">Fwd_curves!A220</f>
        <v>40725</v>
      </c>
      <c r="B190" s="0" t="n">
        <f aca="false">IF($A190&lt;$B$5,0,IF($A190&gt;$B$6,0,Fwd_curves!H220))</f>
        <v>0</v>
      </c>
      <c r="C190" s="0" t="n">
        <f aca="false">IF($A190&lt;$B$5,0,IF($A190&gt;$B$6,0,Fwd_curves!J220))</f>
        <v>0</v>
      </c>
      <c r="D190" s="0" t="n">
        <f aca="false">IF($A190&lt;$B$5,0,IF($A190&gt;$B$6,0,Fwd_curves!K220))</f>
        <v>0</v>
      </c>
      <c r="E190" s="0" t="n">
        <f aca="false">IF($A190&lt;$B$5,0,IF($A190&gt;$B$6,0,Fwd_curves!L220))</f>
        <v>0</v>
      </c>
      <c r="F190" s="0" t="n">
        <f aca="false">IF($A190&lt;$B$5,0,IF($A190&gt;$B$6,0,Fwd_curves!M220))</f>
        <v>0</v>
      </c>
      <c r="G190" s="0" t="n">
        <f aca="false">IF($A190&lt;$B$5,0,IF($A190&gt;$B$6,0,Fwd_curves!N220))</f>
        <v>0</v>
      </c>
      <c r="H190" s="54" t="n">
        <f aca="false">IF($A190&lt;$B$5,0,IF($A190&gt;$B$6,0,Fwd_curves!O220))</f>
        <v>0</v>
      </c>
      <c r="I190" s="54" t="n">
        <f aca="false">IF($A190&lt;$B$5,0,IF($A190&gt;$B$6,0,Fwd_curves!P220))</f>
        <v>0</v>
      </c>
      <c r="J190" s="0" t="n">
        <f aca="false">IF($A190&lt;$B$5,0,IF($A190&gt;$B$6,0,Fwd_curves!Q220))</f>
        <v>0</v>
      </c>
      <c r="K190" s="0" t="n">
        <f aca="false">IF(B190=0,0,$B$9*B190)</f>
        <v>0</v>
      </c>
      <c r="L190" s="56" t="n">
        <f aca="false">external_curves!AB150</f>
        <v>21</v>
      </c>
      <c r="M190" s="56" t="n">
        <f aca="false">external_curves!AA150</f>
        <v>10</v>
      </c>
      <c r="N190" s="138" t="n">
        <f aca="false">(L190*16*$K190)</f>
        <v>0</v>
      </c>
      <c r="O190" s="138" t="n">
        <f aca="false">(L190*13*$K190)</f>
        <v>0</v>
      </c>
      <c r="P190" s="138" t="n">
        <f aca="false">(M190*24*$K190)</f>
        <v>0</v>
      </c>
      <c r="Q190" s="138" t="n">
        <f aca="false">((L190+M190)*K190)*24</f>
        <v>0</v>
      </c>
      <c r="R190" s="0" t="n">
        <f aca="false">L190*8*K190</f>
        <v>0</v>
      </c>
      <c r="T190" s="0" t="n">
        <f aca="false">IF(N190=0,0,$L190*16)*$B$9</f>
        <v>0</v>
      </c>
      <c r="U190" s="0" t="n">
        <f aca="false">IF(O190=0,0,$L190*13)*$B$9</f>
        <v>0</v>
      </c>
      <c r="V190" s="0" t="n">
        <f aca="false">IF(P190=0,0,$M190*24)*$B$9</f>
        <v>0</v>
      </c>
      <c r="W190" s="0" t="n">
        <f aca="false">IF(Q190=0,0,($L190+$M190)*24)*$B$9</f>
        <v>0</v>
      </c>
      <c r="X190" s="0" t="n">
        <f aca="false">IF(R190=0,0,$L190*8)*$B$9</f>
        <v>0</v>
      </c>
    </row>
    <row r="191" customFormat="false" ht="12.75" hidden="false" customHeight="false" outlineLevel="0" collapsed="false">
      <c r="A191" s="61" t="n">
        <f aca="false">Fwd_curves!A221</f>
        <v>40756</v>
      </c>
      <c r="B191" s="0" t="n">
        <f aca="false">IF($A191&lt;$B$5,0,IF($A191&gt;$B$6,0,Fwd_curves!H221))</f>
        <v>0</v>
      </c>
      <c r="C191" s="0" t="n">
        <f aca="false">IF($A191&lt;$B$5,0,IF($A191&gt;$B$6,0,Fwd_curves!J221))</f>
        <v>0</v>
      </c>
      <c r="D191" s="0" t="n">
        <f aca="false">IF($A191&lt;$B$5,0,IF($A191&gt;$B$6,0,Fwd_curves!K221))</f>
        <v>0</v>
      </c>
      <c r="E191" s="0" t="n">
        <f aca="false">IF($A191&lt;$B$5,0,IF($A191&gt;$B$6,0,Fwd_curves!L221))</f>
        <v>0</v>
      </c>
      <c r="F191" s="0" t="n">
        <f aca="false">IF($A191&lt;$B$5,0,IF($A191&gt;$B$6,0,Fwd_curves!M221))</f>
        <v>0</v>
      </c>
      <c r="G191" s="0" t="n">
        <f aca="false">IF($A191&lt;$B$5,0,IF($A191&gt;$B$6,0,Fwd_curves!N221))</f>
        <v>0</v>
      </c>
      <c r="H191" s="54" t="n">
        <f aca="false">IF($A191&lt;$B$5,0,IF($A191&gt;$B$6,0,Fwd_curves!O221))</f>
        <v>0</v>
      </c>
      <c r="I191" s="54" t="n">
        <f aca="false">IF($A191&lt;$B$5,0,IF($A191&gt;$B$6,0,Fwd_curves!P221))</f>
        <v>0</v>
      </c>
      <c r="J191" s="0" t="n">
        <f aca="false">IF($A191&lt;$B$5,0,IF($A191&gt;$B$6,0,Fwd_curves!Q221))</f>
        <v>0</v>
      </c>
      <c r="K191" s="0" t="n">
        <f aca="false">IF(B191=0,0,$B$9*B191)</f>
        <v>0</v>
      </c>
      <c r="L191" s="56" t="n">
        <f aca="false">external_curves!AB151</f>
        <v>23</v>
      </c>
      <c r="M191" s="56" t="n">
        <f aca="false">external_curves!AA151</f>
        <v>8</v>
      </c>
      <c r="N191" s="138" t="n">
        <f aca="false">(L191*16*$K191)</f>
        <v>0</v>
      </c>
      <c r="O191" s="138" t="n">
        <f aca="false">(L191*13*$K191)</f>
        <v>0</v>
      </c>
      <c r="P191" s="138" t="n">
        <f aca="false">(M191*24*$K191)</f>
        <v>0</v>
      </c>
      <c r="Q191" s="138" t="n">
        <f aca="false">((L191+M191)*K191)*24</f>
        <v>0</v>
      </c>
      <c r="R191" s="0" t="n">
        <f aca="false">L191*8*K191</f>
        <v>0</v>
      </c>
      <c r="T191" s="0" t="n">
        <f aca="false">IF(N191=0,0,$L191*16)*$B$9</f>
        <v>0</v>
      </c>
      <c r="U191" s="0" t="n">
        <f aca="false">IF(O191=0,0,$L191*13)*$B$9</f>
        <v>0</v>
      </c>
      <c r="V191" s="0" t="n">
        <f aca="false">IF(P191=0,0,$M191*24)*$B$9</f>
        <v>0</v>
      </c>
      <c r="W191" s="0" t="n">
        <f aca="false">IF(Q191=0,0,($L191+$M191)*24)*$B$9</f>
        <v>0</v>
      </c>
      <c r="X191" s="0" t="n">
        <f aca="false">IF(R191=0,0,$L191*8)*$B$9</f>
        <v>0</v>
      </c>
    </row>
    <row r="192" customFormat="false" ht="12.75" hidden="false" customHeight="false" outlineLevel="0" collapsed="false">
      <c r="A192" s="61" t="n">
        <f aca="false">Fwd_curves!A222</f>
        <v>40787</v>
      </c>
      <c r="B192" s="0" t="n">
        <f aca="false">IF($A192&lt;$B$5,0,IF($A192&gt;$B$6,0,Fwd_curves!H222))</f>
        <v>0</v>
      </c>
      <c r="C192" s="0" t="n">
        <f aca="false">IF($A192&lt;$B$5,0,IF($A192&gt;$B$6,0,Fwd_curves!J222))</f>
        <v>0</v>
      </c>
      <c r="D192" s="0" t="n">
        <f aca="false">IF($A192&lt;$B$5,0,IF($A192&gt;$B$6,0,Fwd_curves!K222))</f>
        <v>0</v>
      </c>
      <c r="E192" s="0" t="n">
        <f aca="false">IF($A192&lt;$B$5,0,IF($A192&gt;$B$6,0,Fwd_curves!L222))</f>
        <v>0</v>
      </c>
      <c r="F192" s="0" t="n">
        <f aca="false">IF($A192&lt;$B$5,0,IF($A192&gt;$B$6,0,Fwd_curves!M222))</f>
        <v>0</v>
      </c>
      <c r="G192" s="0" t="n">
        <f aca="false">IF($A192&lt;$B$5,0,IF($A192&gt;$B$6,0,Fwd_curves!N222))</f>
        <v>0</v>
      </c>
      <c r="H192" s="54" t="n">
        <f aca="false">IF($A192&lt;$B$5,0,IF($A192&gt;$B$6,0,Fwd_curves!O222))</f>
        <v>0</v>
      </c>
      <c r="I192" s="54" t="n">
        <f aca="false">IF($A192&lt;$B$5,0,IF($A192&gt;$B$6,0,Fwd_curves!P222))</f>
        <v>0</v>
      </c>
      <c r="J192" s="0" t="n">
        <f aca="false">IF($A192&lt;$B$5,0,IF($A192&gt;$B$6,0,Fwd_curves!Q222))</f>
        <v>0</v>
      </c>
      <c r="K192" s="0" t="n">
        <f aca="false">IF(B192=0,0,$B$9*B192)</f>
        <v>0</v>
      </c>
      <c r="L192" s="56" t="n">
        <f aca="false">external_curves!AB152</f>
        <v>22</v>
      </c>
      <c r="M192" s="56" t="n">
        <f aca="false">external_curves!AA152</f>
        <v>8</v>
      </c>
      <c r="N192" s="138" t="n">
        <f aca="false">(L192*16*$K192)</f>
        <v>0</v>
      </c>
      <c r="O192" s="138" t="n">
        <f aca="false">(L192*13*$K192)</f>
        <v>0</v>
      </c>
      <c r="P192" s="138" t="n">
        <f aca="false">(M192*24*$K192)</f>
        <v>0</v>
      </c>
      <c r="Q192" s="138" t="n">
        <f aca="false">((L192+M192)*K192)*24</f>
        <v>0</v>
      </c>
      <c r="R192" s="0" t="n">
        <f aca="false">L192*8*K192</f>
        <v>0</v>
      </c>
      <c r="T192" s="0" t="n">
        <f aca="false">IF(N192=0,0,$L192*16)*$B$9</f>
        <v>0</v>
      </c>
      <c r="U192" s="0" t="n">
        <f aca="false">IF(O192=0,0,$L192*13)*$B$9</f>
        <v>0</v>
      </c>
      <c r="V192" s="0" t="n">
        <f aca="false">IF(P192=0,0,$M192*24)*$B$9</f>
        <v>0</v>
      </c>
      <c r="W192" s="0" t="n">
        <f aca="false">IF(Q192=0,0,($L192+$M192)*24)*$B$9</f>
        <v>0</v>
      </c>
      <c r="X192" s="0" t="n">
        <f aca="false">IF(R192=0,0,$L192*8)*$B$9</f>
        <v>0</v>
      </c>
    </row>
    <row r="193" customFormat="false" ht="12.75" hidden="false" customHeight="false" outlineLevel="0" collapsed="false">
      <c r="A193" s="61" t="n">
        <f aca="false">Fwd_curves!A223</f>
        <v>40817</v>
      </c>
      <c r="B193" s="0" t="n">
        <f aca="false">IF($A193&lt;$B$5,0,IF($A193&gt;$B$6,0,Fwd_curves!H223))</f>
        <v>0</v>
      </c>
      <c r="C193" s="0" t="n">
        <f aca="false">IF($A193&lt;$B$5,0,IF($A193&gt;$B$6,0,Fwd_curves!J223))</f>
        <v>0</v>
      </c>
      <c r="D193" s="0" t="n">
        <f aca="false">IF($A193&lt;$B$5,0,IF($A193&gt;$B$6,0,Fwd_curves!K223))</f>
        <v>0</v>
      </c>
      <c r="E193" s="0" t="n">
        <f aca="false">IF($A193&lt;$B$5,0,IF($A193&gt;$B$6,0,Fwd_curves!L223))</f>
        <v>0</v>
      </c>
      <c r="F193" s="0" t="n">
        <f aca="false">IF($A193&lt;$B$5,0,IF($A193&gt;$B$6,0,Fwd_curves!M223))</f>
        <v>0</v>
      </c>
      <c r="G193" s="0" t="n">
        <f aca="false">IF($A193&lt;$B$5,0,IF($A193&gt;$B$6,0,Fwd_curves!N223))</f>
        <v>0</v>
      </c>
      <c r="H193" s="54" t="n">
        <f aca="false">IF($A193&lt;$B$5,0,IF($A193&gt;$B$6,0,Fwd_curves!O223))</f>
        <v>0</v>
      </c>
      <c r="I193" s="54" t="n">
        <f aca="false">IF($A193&lt;$B$5,0,IF($A193&gt;$B$6,0,Fwd_curves!P223))</f>
        <v>0</v>
      </c>
      <c r="J193" s="0" t="n">
        <f aca="false">IF($A193&lt;$B$5,0,IF($A193&gt;$B$6,0,Fwd_curves!Q223))</f>
        <v>0</v>
      </c>
      <c r="K193" s="0" t="n">
        <f aca="false">IF(B193=0,0,$B$9*B193)</f>
        <v>0</v>
      </c>
      <c r="L193" s="56" t="n">
        <f aca="false">external_curves!AB153</f>
        <v>21</v>
      </c>
      <c r="M193" s="56" t="n">
        <f aca="false">external_curves!AA153</f>
        <v>10</v>
      </c>
      <c r="N193" s="138" t="n">
        <f aca="false">(L193*16*$K193)</f>
        <v>0</v>
      </c>
      <c r="O193" s="138" t="n">
        <f aca="false">(L193*13*$K193)</f>
        <v>0</v>
      </c>
      <c r="P193" s="138" t="n">
        <f aca="false">(M193*24*$K193)</f>
        <v>0</v>
      </c>
      <c r="Q193" s="138" t="n">
        <f aca="false">((L193+M193)*K193)*24</f>
        <v>0</v>
      </c>
      <c r="R193" s="0" t="n">
        <f aca="false">L193*8*K193</f>
        <v>0</v>
      </c>
      <c r="T193" s="0" t="n">
        <f aca="false">IF(N193=0,0,$L193*16)*$B$9</f>
        <v>0</v>
      </c>
      <c r="U193" s="0" t="n">
        <f aca="false">IF(O193=0,0,$L193*13)*$B$9</f>
        <v>0</v>
      </c>
      <c r="V193" s="0" t="n">
        <f aca="false">IF(P193=0,0,$M193*24)*$B$9</f>
        <v>0</v>
      </c>
      <c r="W193" s="0" t="n">
        <f aca="false">IF(Q193=0,0,($L193+$M193)*24)*$B$9</f>
        <v>0</v>
      </c>
      <c r="X193" s="0" t="n">
        <f aca="false">IF(R193=0,0,$L193*8)*$B$9</f>
        <v>0</v>
      </c>
    </row>
    <row r="194" customFormat="false" ht="12.75" hidden="false" customHeight="false" outlineLevel="0" collapsed="false">
      <c r="A194" s="61" t="n">
        <f aca="false">Fwd_curves!A224</f>
        <v>40848</v>
      </c>
      <c r="B194" s="0" t="n">
        <f aca="false">IF($A194&lt;$B$5,0,IF($A194&gt;$B$6,0,Fwd_curves!H224))</f>
        <v>0</v>
      </c>
      <c r="C194" s="0" t="n">
        <f aca="false">IF($A194&lt;$B$5,0,IF($A194&gt;$B$6,0,Fwd_curves!J224))</f>
        <v>0</v>
      </c>
      <c r="D194" s="0" t="n">
        <f aca="false">IF($A194&lt;$B$5,0,IF($A194&gt;$B$6,0,Fwd_curves!K224))</f>
        <v>0</v>
      </c>
      <c r="E194" s="0" t="n">
        <f aca="false">IF($A194&lt;$B$5,0,IF($A194&gt;$B$6,0,Fwd_curves!L224))</f>
        <v>0</v>
      </c>
      <c r="F194" s="0" t="n">
        <f aca="false">IF($A194&lt;$B$5,0,IF($A194&gt;$B$6,0,Fwd_curves!M224))</f>
        <v>0</v>
      </c>
      <c r="G194" s="0" t="n">
        <f aca="false">IF($A194&lt;$B$5,0,IF($A194&gt;$B$6,0,Fwd_curves!N224))</f>
        <v>0</v>
      </c>
      <c r="H194" s="54" t="n">
        <f aca="false">IF($A194&lt;$B$5,0,IF($A194&gt;$B$6,0,Fwd_curves!O224))</f>
        <v>0</v>
      </c>
      <c r="I194" s="54" t="n">
        <f aca="false">IF($A194&lt;$B$5,0,IF($A194&gt;$B$6,0,Fwd_curves!P224))</f>
        <v>0</v>
      </c>
      <c r="J194" s="0" t="n">
        <f aca="false">IF($A194&lt;$B$5,0,IF($A194&gt;$B$6,0,Fwd_curves!Q224))</f>
        <v>0</v>
      </c>
      <c r="K194" s="0" t="n">
        <f aca="false">IF(B194=0,0,$B$9*B194)</f>
        <v>0</v>
      </c>
      <c r="L194" s="56" t="n">
        <f aca="false">external_curves!AB154</f>
        <v>22</v>
      </c>
      <c r="M194" s="56" t="n">
        <f aca="false">external_curves!AA154</f>
        <v>8</v>
      </c>
      <c r="N194" s="138" t="n">
        <f aca="false">(L194*16*$K194)</f>
        <v>0</v>
      </c>
      <c r="O194" s="138" t="n">
        <f aca="false">(L194*13*$K194)</f>
        <v>0</v>
      </c>
      <c r="P194" s="138" t="n">
        <f aca="false">(M194*24*$K194)</f>
        <v>0</v>
      </c>
      <c r="Q194" s="138" t="n">
        <f aca="false">((L194+M194)*K194)*24</f>
        <v>0</v>
      </c>
      <c r="R194" s="0" t="n">
        <f aca="false">L194*8*K194</f>
        <v>0</v>
      </c>
      <c r="T194" s="0" t="n">
        <f aca="false">IF(N194=0,0,$L194*16)*$B$9</f>
        <v>0</v>
      </c>
      <c r="U194" s="0" t="n">
        <f aca="false">IF(O194=0,0,$L194*13)*$B$9</f>
        <v>0</v>
      </c>
      <c r="V194" s="0" t="n">
        <f aca="false">IF(P194=0,0,$M194*24)*$B$9</f>
        <v>0</v>
      </c>
      <c r="W194" s="0" t="n">
        <f aca="false">IF(Q194=0,0,($L194+$M194)*24)*$B$9</f>
        <v>0</v>
      </c>
      <c r="X194" s="0" t="n">
        <f aca="false">IF(R194=0,0,$L194*8)*$B$9</f>
        <v>0</v>
      </c>
    </row>
    <row r="195" customFormat="false" ht="12.75" hidden="false" customHeight="false" outlineLevel="0" collapsed="false">
      <c r="A195" s="61" t="n">
        <f aca="false">Fwd_curves!A225</f>
        <v>40878</v>
      </c>
      <c r="B195" s="0" t="n">
        <f aca="false">IF($A195&lt;$B$5,0,IF($A195&gt;$B$6,0,Fwd_curves!H225))</f>
        <v>0</v>
      </c>
      <c r="C195" s="0" t="n">
        <f aca="false">IF($A195&lt;$B$5,0,IF($A195&gt;$B$6,0,Fwd_curves!J225))</f>
        <v>0</v>
      </c>
      <c r="D195" s="0" t="n">
        <f aca="false">IF($A195&lt;$B$5,0,IF($A195&gt;$B$6,0,Fwd_curves!K225))</f>
        <v>0</v>
      </c>
      <c r="E195" s="0" t="n">
        <f aca="false">IF($A195&lt;$B$5,0,IF($A195&gt;$B$6,0,Fwd_curves!L225))</f>
        <v>0</v>
      </c>
      <c r="F195" s="0" t="n">
        <f aca="false">IF($A195&lt;$B$5,0,IF($A195&gt;$B$6,0,Fwd_curves!M225))</f>
        <v>0</v>
      </c>
      <c r="G195" s="0" t="n">
        <f aca="false">IF($A195&lt;$B$5,0,IF($A195&gt;$B$6,0,Fwd_curves!N225))</f>
        <v>0</v>
      </c>
      <c r="H195" s="54" t="n">
        <f aca="false">IF($A195&lt;$B$5,0,IF($A195&gt;$B$6,0,Fwd_curves!O225))</f>
        <v>0</v>
      </c>
      <c r="I195" s="54" t="n">
        <f aca="false">IF($A195&lt;$B$5,0,IF($A195&gt;$B$6,0,Fwd_curves!P225))</f>
        <v>0</v>
      </c>
      <c r="J195" s="0" t="n">
        <f aca="false">IF($A195&lt;$B$5,0,IF($A195&gt;$B$6,0,Fwd_curves!Q225))</f>
        <v>0</v>
      </c>
      <c r="K195" s="0" t="n">
        <f aca="false">IF(B195=0,0,$B$9*B195)</f>
        <v>0</v>
      </c>
      <c r="L195" s="56" t="n">
        <f aca="false">external_curves!AB155</f>
        <v>22</v>
      </c>
      <c r="M195" s="56" t="n">
        <f aca="false">external_curves!AA155</f>
        <v>9</v>
      </c>
      <c r="N195" s="138" t="n">
        <f aca="false">(L195*16*$K195)</f>
        <v>0</v>
      </c>
      <c r="O195" s="138" t="n">
        <f aca="false">(L195*13*$K195)</f>
        <v>0</v>
      </c>
      <c r="P195" s="138" t="n">
        <f aca="false">(M195*24*$K195)</f>
        <v>0</v>
      </c>
      <c r="Q195" s="138" t="n">
        <f aca="false">((L195+M195)*K195)*24</f>
        <v>0</v>
      </c>
      <c r="R195" s="0" t="n">
        <f aca="false">L195*8*K195</f>
        <v>0</v>
      </c>
      <c r="T195" s="0" t="n">
        <f aca="false">IF(N195=0,0,$L195*16)*$B$9</f>
        <v>0</v>
      </c>
      <c r="U195" s="0" t="n">
        <f aca="false">IF(O195=0,0,$L195*13)*$B$9</f>
        <v>0</v>
      </c>
      <c r="V195" s="0" t="n">
        <f aca="false">IF(P195=0,0,$M195*24)*$B$9</f>
        <v>0</v>
      </c>
      <c r="W195" s="0" t="n">
        <f aca="false">IF(Q195=0,0,($L195+$M195)*24)*$B$9</f>
        <v>0</v>
      </c>
      <c r="X195" s="0" t="n">
        <f aca="false">IF(R195=0,0,$L195*8)*$B$9</f>
        <v>0</v>
      </c>
    </row>
    <row r="196" customFormat="false" ht="12.75" hidden="false" customHeight="false" outlineLevel="0" collapsed="false">
      <c r="A196" s="61" t="n">
        <f aca="false">Fwd_curves!A226</f>
        <v>40909</v>
      </c>
      <c r="B196" s="0" t="n">
        <f aca="false">IF($A196&lt;$B$5,0,IF($A196&gt;$B$6,0,Fwd_curves!H226))</f>
        <v>0</v>
      </c>
      <c r="C196" s="0" t="n">
        <f aca="false">IF($A196&lt;$B$5,0,IF($A196&gt;$B$6,0,Fwd_curves!J226))</f>
        <v>0</v>
      </c>
      <c r="D196" s="0" t="n">
        <f aca="false">IF($A196&lt;$B$5,0,IF($A196&gt;$B$6,0,Fwd_curves!K226))</f>
        <v>0</v>
      </c>
      <c r="E196" s="0" t="n">
        <f aca="false">IF($A196&lt;$B$5,0,IF($A196&gt;$B$6,0,Fwd_curves!L226))</f>
        <v>0</v>
      </c>
      <c r="F196" s="0" t="n">
        <f aca="false">IF($A196&lt;$B$5,0,IF($A196&gt;$B$6,0,Fwd_curves!M226))</f>
        <v>0</v>
      </c>
      <c r="G196" s="0" t="n">
        <f aca="false">IF($A196&lt;$B$5,0,IF($A196&gt;$B$6,0,Fwd_curves!N226))</f>
        <v>0</v>
      </c>
      <c r="H196" s="54" t="n">
        <f aca="false">IF($A196&lt;$B$5,0,IF($A196&gt;$B$6,0,Fwd_curves!O226))</f>
        <v>0</v>
      </c>
      <c r="I196" s="54" t="n">
        <f aca="false">IF($A196&lt;$B$5,0,IF($A196&gt;$B$6,0,Fwd_curves!P226))</f>
        <v>0</v>
      </c>
      <c r="J196" s="0" t="n">
        <f aca="false">IF($A196&lt;$B$5,0,IF($A196&gt;$B$6,0,Fwd_curves!Q226))</f>
        <v>0</v>
      </c>
      <c r="K196" s="0" t="n">
        <f aca="false">IF(B196=0,0,$B$9*B196)</f>
        <v>0</v>
      </c>
      <c r="L196" s="56" t="n">
        <f aca="false">external_curves!AB156</f>
        <v>21</v>
      </c>
      <c r="M196" s="56" t="n">
        <f aca="false">external_curves!AA156</f>
        <v>10</v>
      </c>
      <c r="N196" s="138" t="n">
        <f aca="false">(L196*16*$K196)</f>
        <v>0</v>
      </c>
      <c r="O196" s="138" t="n">
        <f aca="false">(L196*13*$K196)</f>
        <v>0</v>
      </c>
      <c r="P196" s="138" t="n">
        <f aca="false">(M196*24*$K196)</f>
        <v>0</v>
      </c>
      <c r="Q196" s="138" t="n">
        <f aca="false">((L196+M196)*K196)*24</f>
        <v>0</v>
      </c>
      <c r="R196" s="0" t="n">
        <f aca="false">L196*8*K196</f>
        <v>0</v>
      </c>
      <c r="T196" s="0" t="n">
        <f aca="false">IF(N196=0,0,$L196*16)*$B$9</f>
        <v>0</v>
      </c>
      <c r="U196" s="0" t="n">
        <f aca="false">IF(O196=0,0,$L196*13)*$B$9</f>
        <v>0</v>
      </c>
      <c r="V196" s="0" t="n">
        <f aca="false">IF(P196=0,0,$M196*24)*$B$9</f>
        <v>0</v>
      </c>
      <c r="W196" s="0" t="n">
        <f aca="false">IF(Q196=0,0,($L196+$M196)*24)*$B$9</f>
        <v>0</v>
      </c>
      <c r="X196" s="0" t="n">
        <f aca="false">IF(R196=0,0,$L196*8)*$B$9</f>
        <v>0</v>
      </c>
    </row>
    <row r="197" customFormat="false" ht="12.75" hidden="false" customHeight="false" outlineLevel="0" collapsed="false">
      <c r="A197" s="61" t="n">
        <f aca="false">Fwd_curves!A227</f>
        <v>40940</v>
      </c>
      <c r="B197" s="0" t="n">
        <f aca="false">IF($A197&lt;$B$5,0,IF($A197&gt;$B$6,0,Fwd_curves!H227))</f>
        <v>0</v>
      </c>
      <c r="C197" s="0" t="n">
        <f aca="false">IF($A197&lt;$B$5,0,IF($A197&gt;$B$6,0,Fwd_curves!J227))</f>
        <v>0</v>
      </c>
      <c r="D197" s="0" t="n">
        <f aca="false">IF($A197&lt;$B$5,0,IF($A197&gt;$B$6,0,Fwd_curves!K227))</f>
        <v>0</v>
      </c>
      <c r="E197" s="0" t="n">
        <f aca="false">IF($A197&lt;$B$5,0,IF($A197&gt;$B$6,0,Fwd_curves!L227))</f>
        <v>0</v>
      </c>
      <c r="F197" s="0" t="n">
        <f aca="false">IF($A197&lt;$B$5,0,IF($A197&gt;$B$6,0,Fwd_curves!M227))</f>
        <v>0</v>
      </c>
      <c r="G197" s="0" t="n">
        <f aca="false">IF($A197&lt;$B$5,0,IF($A197&gt;$B$6,0,Fwd_curves!N227))</f>
        <v>0</v>
      </c>
      <c r="H197" s="54" t="n">
        <f aca="false">IF($A197&lt;$B$5,0,IF($A197&gt;$B$6,0,Fwd_curves!O227))</f>
        <v>0</v>
      </c>
      <c r="I197" s="54" t="n">
        <f aca="false">IF($A197&lt;$B$5,0,IF($A197&gt;$B$6,0,Fwd_curves!P227))</f>
        <v>0</v>
      </c>
      <c r="J197" s="0" t="n">
        <f aca="false">IF($A197&lt;$B$5,0,IF($A197&gt;$B$6,0,Fwd_curves!Q227))</f>
        <v>0</v>
      </c>
      <c r="K197" s="0" t="n">
        <f aca="false">IF(B197=0,0,$B$9*B197)</f>
        <v>0</v>
      </c>
      <c r="L197" s="56" t="n">
        <f aca="false">external_curves!AB157</f>
        <v>20</v>
      </c>
      <c r="M197" s="56" t="n">
        <f aca="false">external_curves!AA157</f>
        <v>8</v>
      </c>
      <c r="N197" s="138" t="n">
        <f aca="false">(L197*16*$K197)</f>
        <v>0</v>
      </c>
      <c r="O197" s="138" t="n">
        <f aca="false">(L197*13*$K197)</f>
        <v>0</v>
      </c>
      <c r="P197" s="138" t="n">
        <f aca="false">(M197*24*$K197)</f>
        <v>0</v>
      </c>
      <c r="Q197" s="138" t="n">
        <f aca="false">((L197+M197)*K197)*24</f>
        <v>0</v>
      </c>
      <c r="R197" s="0" t="n">
        <f aca="false">L197*8*K197</f>
        <v>0</v>
      </c>
      <c r="T197" s="0" t="n">
        <f aca="false">IF(N197=0,0,$L197*16)*$B$9</f>
        <v>0</v>
      </c>
      <c r="U197" s="0" t="n">
        <f aca="false">IF(O197=0,0,$L197*13)*$B$9</f>
        <v>0</v>
      </c>
      <c r="V197" s="0" t="n">
        <f aca="false">IF(P197=0,0,$M197*24)*$B$9</f>
        <v>0</v>
      </c>
      <c r="W197" s="0" t="n">
        <f aca="false">IF(Q197=0,0,($L197+$M197)*24)*$B$9</f>
        <v>0</v>
      </c>
      <c r="X197" s="0" t="n">
        <f aca="false">IF(R197=0,0,$L197*8)*$B$9</f>
        <v>0</v>
      </c>
    </row>
    <row r="198" customFormat="false" ht="12.75" hidden="false" customHeight="false" outlineLevel="0" collapsed="false">
      <c r="A198" s="61" t="n">
        <f aca="false">Fwd_curves!A228</f>
        <v>40969</v>
      </c>
      <c r="B198" s="0" t="n">
        <f aca="false">IF($A198&lt;$B$5,0,IF($A198&gt;$B$6,0,Fwd_curves!H228))</f>
        <v>0</v>
      </c>
      <c r="C198" s="0" t="n">
        <f aca="false">IF($A198&lt;$B$5,0,IF($A198&gt;$B$6,0,Fwd_curves!J228))</f>
        <v>0</v>
      </c>
      <c r="D198" s="0" t="n">
        <f aca="false">IF($A198&lt;$B$5,0,IF($A198&gt;$B$6,0,Fwd_curves!K228))</f>
        <v>0</v>
      </c>
      <c r="E198" s="0" t="n">
        <f aca="false">IF($A198&lt;$B$5,0,IF($A198&gt;$B$6,0,Fwd_curves!L228))</f>
        <v>0</v>
      </c>
      <c r="F198" s="0" t="n">
        <f aca="false">IF($A198&lt;$B$5,0,IF($A198&gt;$B$6,0,Fwd_curves!M228))</f>
        <v>0</v>
      </c>
      <c r="G198" s="0" t="n">
        <f aca="false">IF($A198&lt;$B$5,0,IF($A198&gt;$B$6,0,Fwd_curves!N228))</f>
        <v>0</v>
      </c>
      <c r="H198" s="54" t="n">
        <f aca="false">IF($A198&lt;$B$5,0,IF($A198&gt;$B$6,0,Fwd_curves!O228))</f>
        <v>0</v>
      </c>
      <c r="I198" s="54" t="n">
        <f aca="false">IF($A198&lt;$B$5,0,IF($A198&gt;$B$6,0,Fwd_curves!P228))</f>
        <v>0</v>
      </c>
      <c r="J198" s="0" t="n">
        <f aca="false">IF($A198&lt;$B$5,0,IF($A198&gt;$B$6,0,Fwd_curves!Q228))</f>
        <v>0</v>
      </c>
      <c r="K198" s="0" t="n">
        <f aca="false">IF(B198=0,0,$B$9*B198)</f>
        <v>0</v>
      </c>
      <c r="L198" s="56" t="n">
        <f aca="false">external_curves!AB158</f>
        <v>23</v>
      </c>
      <c r="M198" s="56" t="n">
        <f aca="false">external_curves!AA158</f>
        <v>8</v>
      </c>
      <c r="N198" s="138" t="n">
        <f aca="false">(L198*16*$K198)</f>
        <v>0</v>
      </c>
      <c r="O198" s="138" t="n">
        <f aca="false">(L198*13*$K198)</f>
        <v>0</v>
      </c>
      <c r="P198" s="138" t="n">
        <f aca="false">(M198*24*$K198)</f>
        <v>0</v>
      </c>
      <c r="Q198" s="138" t="n">
        <f aca="false">((L198+M198)*K198)*24</f>
        <v>0</v>
      </c>
      <c r="R198" s="0" t="n">
        <f aca="false">L198*8*K198</f>
        <v>0</v>
      </c>
      <c r="T198" s="0" t="n">
        <f aca="false">IF(N198=0,0,$L198*16)*$B$9</f>
        <v>0</v>
      </c>
      <c r="U198" s="0" t="n">
        <f aca="false">IF(O198=0,0,$L198*13)*$B$9</f>
        <v>0</v>
      </c>
      <c r="V198" s="0" t="n">
        <f aca="false">IF(P198=0,0,$M198*24)*$B$9</f>
        <v>0</v>
      </c>
      <c r="W198" s="0" t="n">
        <f aca="false">IF(Q198=0,0,($L198+$M198)*24)*$B$9</f>
        <v>0</v>
      </c>
      <c r="X198" s="0" t="n">
        <f aca="false">IF(R198=0,0,$L198*8)*$B$9</f>
        <v>0</v>
      </c>
    </row>
    <row r="199" customFormat="false" ht="12.75" hidden="false" customHeight="false" outlineLevel="0" collapsed="false">
      <c r="A199" s="61" t="n">
        <f aca="false">Fwd_curves!A229</f>
        <v>41000</v>
      </c>
      <c r="B199" s="0" t="n">
        <f aca="false">IF($A199&lt;$B$5,0,IF($A199&gt;$B$6,0,Fwd_curves!H229))</f>
        <v>0</v>
      </c>
      <c r="C199" s="0" t="n">
        <f aca="false">IF($A199&lt;$B$5,0,IF($A199&gt;$B$6,0,Fwd_curves!J229))</f>
        <v>0</v>
      </c>
      <c r="D199" s="0" t="n">
        <f aca="false">IF($A199&lt;$B$5,0,IF($A199&gt;$B$6,0,Fwd_curves!K229))</f>
        <v>0</v>
      </c>
      <c r="E199" s="0" t="n">
        <f aca="false">IF($A199&lt;$B$5,0,IF($A199&gt;$B$6,0,Fwd_curves!L229))</f>
        <v>0</v>
      </c>
      <c r="F199" s="0" t="n">
        <f aca="false">IF($A199&lt;$B$5,0,IF($A199&gt;$B$6,0,Fwd_curves!M229))</f>
        <v>0</v>
      </c>
      <c r="G199" s="0" t="n">
        <f aca="false">IF($A199&lt;$B$5,0,IF($A199&gt;$B$6,0,Fwd_curves!N229))</f>
        <v>0</v>
      </c>
      <c r="H199" s="54" t="n">
        <f aca="false">IF($A199&lt;$B$5,0,IF($A199&gt;$B$6,0,Fwd_curves!O229))</f>
        <v>0</v>
      </c>
      <c r="I199" s="54" t="n">
        <f aca="false">IF($A199&lt;$B$5,0,IF($A199&gt;$B$6,0,Fwd_curves!P229))</f>
        <v>0</v>
      </c>
      <c r="J199" s="0" t="n">
        <f aca="false">IF($A199&lt;$B$5,0,IF($A199&gt;$B$6,0,Fwd_curves!Q229))</f>
        <v>0</v>
      </c>
      <c r="K199" s="0" t="n">
        <f aca="false">IF(B199=0,0,$B$9*B199)</f>
        <v>0</v>
      </c>
      <c r="L199" s="56" t="n">
        <f aca="false">external_curves!AB159</f>
        <v>21</v>
      </c>
      <c r="M199" s="56" t="n">
        <f aca="false">external_curves!AA159</f>
        <v>9</v>
      </c>
      <c r="N199" s="138" t="n">
        <f aca="false">(L199*16*$K199)</f>
        <v>0</v>
      </c>
      <c r="O199" s="138" t="n">
        <f aca="false">(L199*13*$K199)</f>
        <v>0</v>
      </c>
      <c r="P199" s="138" t="n">
        <f aca="false">(M199*24*$K199)</f>
        <v>0</v>
      </c>
      <c r="Q199" s="138" t="n">
        <f aca="false">((L199+M199)*K199)*24</f>
        <v>0</v>
      </c>
      <c r="R199" s="0" t="n">
        <f aca="false">L199*8*K199</f>
        <v>0</v>
      </c>
      <c r="T199" s="0" t="n">
        <f aca="false">IF(N199=0,0,$L199*16)*$B$9</f>
        <v>0</v>
      </c>
      <c r="U199" s="0" t="n">
        <f aca="false">IF(O199=0,0,$L199*13)*$B$9</f>
        <v>0</v>
      </c>
      <c r="V199" s="0" t="n">
        <f aca="false">IF(P199=0,0,$M199*24)*$B$9</f>
        <v>0</v>
      </c>
      <c r="W199" s="0" t="n">
        <f aca="false">IF(Q199=0,0,($L199+$M199)*24)*$B$9</f>
        <v>0</v>
      </c>
      <c r="X199" s="0" t="n">
        <f aca="false">IF(R199=0,0,$L199*8)*$B$9</f>
        <v>0</v>
      </c>
    </row>
    <row r="200" customFormat="false" ht="12.75" hidden="false" customHeight="false" outlineLevel="0" collapsed="false">
      <c r="A200" s="61" t="n">
        <f aca="false">Fwd_curves!A230</f>
        <v>41030</v>
      </c>
      <c r="B200" s="0" t="n">
        <f aca="false">IF($A200&lt;$B$5,0,IF($A200&gt;$B$6,0,Fwd_curves!H230))</f>
        <v>0</v>
      </c>
      <c r="C200" s="0" t="n">
        <f aca="false">IF($A200&lt;$B$5,0,IF($A200&gt;$B$6,0,Fwd_curves!J230))</f>
        <v>0</v>
      </c>
      <c r="D200" s="0" t="n">
        <f aca="false">IF($A200&lt;$B$5,0,IF($A200&gt;$B$6,0,Fwd_curves!K230))</f>
        <v>0</v>
      </c>
      <c r="E200" s="0" t="n">
        <f aca="false">IF($A200&lt;$B$5,0,IF($A200&gt;$B$6,0,Fwd_curves!L230))</f>
        <v>0</v>
      </c>
      <c r="F200" s="0" t="n">
        <f aca="false">IF($A200&lt;$B$5,0,IF($A200&gt;$B$6,0,Fwd_curves!M230))</f>
        <v>0</v>
      </c>
      <c r="G200" s="0" t="n">
        <f aca="false">IF($A200&lt;$B$5,0,IF($A200&gt;$B$6,0,Fwd_curves!N230))</f>
        <v>0</v>
      </c>
      <c r="H200" s="54" t="n">
        <f aca="false">IF($A200&lt;$B$5,0,IF($A200&gt;$B$6,0,Fwd_curves!O230))</f>
        <v>0</v>
      </c>
      <c r="I200" s="54" t="n">
        <f aca="false">IF($A200&lt;$B$5,0,IF($A200&gt;$B$6,0,Fwd_curves!P230))</f>
        <v>0</v>
      </c>
      <c r="J200" s="0" t="n">
        <f aca="false">IF($A200&lt;$B$5,0,IF($A200&gt;$B$6,0,Fwd_curves!Q230))</f>
        <v>0</v>
      </c>
      <c r="K200" s="0" t="n">
        <f aca="false">IF(B200=0,0,$B$9*B200)</f>
        <v>0</v>
      </c>
      <c r="L200" s="56" t="n">
        <f aca="false">external_curves!AB160</f>
        <v>22</v>
      </c>
      <c r="M200" s="56" t="n">
        <f aca="false">external_curves!AA160</f>
        <v>9</v>
      </c>
      <c r="N200" s="138" t="n">
        <f aca="false">(L200*16*$K200)</f>
        <v>0</v>
      </c>
      <c r="O200" s="138" t="n">
        <f aca="false">(L200*13*$K200)</f>
        <v>0</v>
      </c>
      <c r="P200" s="138" t="n">
        <f aca="false">(M200*24*$K200)</f>
        <v>0</v>
      </c>
      <c r="Q200" s="138" t="n">
        <f aca="false">((L200+M200)*K200)*24</f>
        <v>0</v>
      </c>
      <c r="R200" s="0" t="n">
        <f aca="false">L200*8*K200</f>
        <v>0</v>
      </c>
      <c r="T200" s="0" t="n">
        <f aca="false">IF(N200=0,0,$L200*16)*$B$9</f>
        <v>0</v>
      </c>
      <c r="U200" s="0" t="n">
        <f aca="false">IF(O200=0,0,$L200*13)*$B$9</f>
        <v>0</v>
      </c>
      <c r="V200" s="0" t="n">
        <f aca="false">IF(P200=0,0,$M200*24)*$B$9</f>
        <v>0</v>
      </c>
      <c r="W200" s="0" t="n">
        <f aca="false">IF(Q200=0,0,($L200+$M200)*24)*$B$9</f>
        <v>0</v>
      </c>
      <c r="X200" s="0" t="n">
        <f aca="false">IF(R200=0,0,$L200*8)*$B$9</f>
        <v>0</v>
      </c>
    </row>
    <row r="201" customFormat="false" ht="12.75" hidden="false" customHeight="false" outlineLevel="0" collapsed="false">
      <c r="A201" s="61" t="n">
        <f aca="false">Fwd_curves!A231</f>
        <v>41061</v>
      </c>
      <c r="B201" s="0" t="n">
        <f aca="false">IF($A201&lt;$B$5,0,IF($A201&gt;$B$6,0,Fwd_curves!H231))</f>
        <v>0</v>
      </c>
      <c r="C201" s="0" t="n">
        <f aca="false">IF($A201&lt;$B$5,0,IF($A201&gt;$B$6,0,Fwd_curves!J231))</f>
        <v>0</v>
      </c>
      <c r="D201" s="0" t="n">
        <f aca="false">IF($A201&lt;$B$5,0,IF($A201&gt;$B$6,0,Fwd_curves!K231))</f>
        <v>0</v>
      </c>
      <c r="E201" s="0" t="n">
        <f aca="false">IF($A201&lt;$B$5,0,IF($A201&gt;$B$6,0,Fwd_curves!L231))</f>
        <v>0</v>
      </c>
      <c r="F201" s="0" t="n">
        <f aca="false">IF($A201&lt;$B$5,0,IF($A201&gt;$B$6,0,Fwd_curves!M231))</f>
        <v>0</v>
      </c>
      <c r="G201" s="0" t="n">
        <f aca="false">IF($A201&lt;$B$5,0,IF($A201&gt;$B$6,0,Fwd_curves!N231))</f>
        <v>0</v>
      </c>
      <c r="H201" s="54" t="n">
        <f aca="false">IF($A201&lt;$B$5,0,IF($A201&gt;$B$6,0,Fwd_curves!O231))</f>
        <v>0</v>
      </c>
      <c r="I201" s="54" t="n">
        <f aca="false">IF($A201&lt;$B$5,0,IF($A201&gt;$B$6,0,Fwd_curves!P231))</f>
        <v>0</v>
      </c>
      <c r="J201" s="0" t="n">
        <f aca="false">IF($A201&lt;$B$5,0,IF($A201&gt;$B$6,0,Fwd_curves!Q231))</f>
        <v>0</v>
      </c>
      <c r="K201" s="0" t="n">
        <f aca="false">IF(B201=0,0,$B$9*B201)</f>
        <v>0</v>
      </c>
      <c r="L201" s="56" t="n">
        <f aca="false">external_curves!AB161</f>
        <v>22</v>
      </c>
      <c r="M201" s="56" t="n">
        <f aca="false">external_curves!AA161</f>
        <v>8</v>
      </c>
      <c r="N201" s="138" t="n">
        <f aca="false">(L201*16*$K201)</f>
        <v>0</v>
      </c>
      <c r="O201" s="138" t="n">
        <f aca="false">(L201*13*$K201)</f>
        <v>0</v>
      </c>
      <c r="P201" s="138" t="n">
        <f aca="false">(M201*24*$K201)</f>
        <v>0</v>
      </c>
      <c r="Q201" s="138" t="n">
        <f aca="false">((L201+M201)*K201)*24</f>
        <v>0</v>
      </c>
      <c r="R201" s="0" t="n">
        <f aca="false">L201*8*K201</f>
        <v>0</v>
      </c>
      <c r="T201" s="0" t="n">
        <f aca="false">IF(N201=0,0,$L201*16)*$B$9</f>
        <v>0</v>
      </c>
      <c r="U201" s="0" t="n">
        <f aca="false">IF(O201=0,0,$L201*13)*$B$9</f>
        <v>0</v>
      </c>
      <c r="V201" s="0" t="n">
        <f aca="false">IF(P201=0,0,$M201*24)*$B$9</f>
        <v>0</v>
      </c>
      <c r="W201" s="0" t="n">
        <f aca="false">IF(Q201=0,0,($L201+$M201)*24)*$B$9</f>
        <v>0</v>
      </c>
      <c r="X201" s="0" t="n">
        <f aca="false">IF(R201=0,0,$L201*8)*$B$9</f>
        <v>0</v>
      </c>
    </row>
    <row r="202" customFormat="false" ht="12.75" hidden="false" customHeight="false" outlineLevel="0" collapsed="false">
      <c r="A202" s="61" t="n">
        <f aca="false">Fwd_curves!A232</f>
        <v>41091</v>
      </c>
      <c r="B202" s="0" t="n">
        <f aca="false">IF($A202&lt;$B$5,0,IF($A202&gt;$B$6,0,Fwd_curves!H232))</f>
        <v>0</v>
      </c>
      <c r="C202" s="0" t="n">
        <f aca="false">IF($A202&lt;$B$5,0,IF($A202&gt;$B$6,0,Fwd_curves!J232))</f>
        <v>0</v>
      </c>
      <c r="D202" s="0" t="n">
        <f aca="false">IF($A202&lt;$B$5,0,IF($A202&gt;$B$6,0,Fwd_curves!K232))</f>
        <v>0</v>
      </c>
      <c r="E202" s="0" t="n">
        <f aca="false">IF($A202&lt;$B$5,0,IF($A202&gt;$B$6,0,Fwd_curves!L232))</f>
        <v>0</v>
      </c>
      <c r="F202" s="0" t="n">
        <f aca="false">IF($A202&lt;$B$5,0,IF($A202&gt;$B$6,0,Fwd_curves!M232))</f>
        <v>0</v>
      </c>
      <c r="G202" s="0" t="n">
        <f aca="false">IF($A202&lt;$B$5,0,IF($A202&gt;$B$6,0,Fwd_curves!N232))</f>
        <v>0</v>
      </c>
      <c r="H202" s="54" t="n">
        <f aca="false">IF($A202&lt;$B$5,0,IF($A202&gt;$B$6,0,Fwd_curves!O232))</f>
        <v>0</v>
      </c>
      <c r="I202" s="54" t="n">
        <f aca="false">IF($A202&lt;$B$5,0,IF($A202&gt;$B$6,0,Fwd_curves!P232))</f>
        <v>0</v>
      </c>
      <c r="J202" s="0" t="n">
        <f aca="false">IF($A202&lt;$B$5,0,IF($A202&gt;$B$6,0,Fwd_curves!Q232))</f>
        <v>0</v>
      </c>
      <c r="K202" s="0" t="n">
        <f aca="false">IF(B202=0,0,$B$9*B202)</f>
        <v>0</v>
      </c>
      <c r="L202" s="56" t="n">
        <f aca="false">external_curves!AB162</f>
        <v>21</v>
      </c>
      <c r="M202" s="56" t="n">
        <f aca="false">external_curves!AA162</f>
        <v>10</v>
      </c>
      <c r="N202" s="138" t="n">
        <f aca="false">(L202*16*$K202)</f>
        <v>0</v>
      </c>
      <c r="O202" s="138" t="n">
        <f aca="false">(L202*13*$K202)</f>
        <v>0</v>
      </c>
      <c r="P202" s="138" t="n">
        <f aca="false">(M202*24*$K202)</f>
        <v>0</v>
      </c>
      <c r="Q202" s="138" t="n">
        <f aca="false">((L202+M202)*K202)*24</f>
        <v>0</v>
      </c>
      <c r="R202" s="0" t="n">
        <f aca="false">L202*8*K202</f>
        <v>0</v>
      </c>
      <c r="T202" s="0" t="n">
        <f aca="false">IF(N202=0,0,$L202*16)*$B$9</f>
        <v>0</v>
      </c>
      <c r="U202" s="0" t="n">
        <f aca="false">IF(O202=0,0,$L202*13)*$B$9</f>
        <v>0</v>
      </c>
      <c r="V202" s="0" t="n">
        <f aca="false">IF(P202=0,0,$M202*24)*$B$9</f>
        <v>0</v>
      </c>
      <c r="W202" s="0" t="n">
        <f aca="false">IF(Q202=0,0,($L202+$M202)*24)*$B$9</f>
        <v>0</v>
      </c>
      <c r="X202" s="0" t="n">
        <f aca="false">IF(R202=0,0,$L202*8)*$B$9</f>
        <v>0</v>
      </c>
    </row>
    <row r="203" customFormat="false" ht="12.75" hidden="false" customHeight="false" outlineLevel="0" collapsed="false">
      <c r="A203" s="61" t="n">
        <f aca="false">Fwd_curves!A233</f>
        <v>41122</v>
      </c>
      <c r="B203" s="0" t="n">
        <f aca="false">IF($A203&lt;$B$5,0,IF($A203&gt;$B$6,0,Fwd_curves!H233))</f>
        <v>0</v>
      </c>
      <c r="C203" s="0" t="n">
        <f aca="false">IF($A203&lt;$B$5,0,IF($A203&gt;$B$6,0,Fwd_curves!J233))</f>
        <v>0</v>
      </c>
      <c r="D203" s="0" t="n">
        <f aca="false">IF($A203&lt;$B$5,0,IF($A203&gt;$B$6,0,Fwd_curves!K233))</f>
        <v>0</v>
      </c>
      <c r="E203" s="0" t="n">
        <f aca="false">IF($A203&lt;$B$5,0,IF($A203&gt;$B$6,0,Fwd_curves!L233))</f>
        <v>0</v>
      </c>
      <c r="F203" s="0" t="n">
        <f aca="false">IF($A203&lt;$B$5,0,IF($A203&gt;$B$6,0,Fwd_curves!M233))</f>
        <v>0</v>
      </c>
      <c r="G203" s="0" t="n">
        <f aca="false">IF($A203&lt;$B$5,0,IF($A203&gt;$B$6,0,Fwd_curves!N233))</f>
        <v>0</v>
      </c>
      <c r="H203" s="54" t="n">
        <f aca="false">IF($A203&lt;$B$5,0,IF($A203&gt;$B$6,0,Fwd_curves!O233))</f>
        <v>0</v>
      </c>
      <c r="I203" s="54" t="n">
        <f aca="false">IF($A203&lt;$B$5,0,IF($A203&gt;$B$6,0,Fwd_curves!P233))</f>
        <v>0</v>
      </c>
      <c r="J203" s="0" t="n">
        <f aca="false">IF($A203&lt;$B$5,0,IF($A203&gt;$B$6,0,Fwd_curves!Q233))</f>
        <v>0</v>
      </c>
      <c r="K203" s="0" t="n">
        <f aca="false">IF(B203=0,0,$B$9*B203)</f>
        <v>0</v>
      </c>
      <c r="L203" s="56" t="n">
        <f aca="false">external_curves!AB163</f>
        <v>23</v>
      </c>
      <c r="M203" s="56" t="n">
        <f aca="false">external_curves!AA163</f>
        <v>8</v>
      </c>
      <c r="N203" s="138" t="n">
        <f aca="false">(L203*16*$K203)</f>
        <v>0</v>
      </c>
      <c r="O203" s="138" t="n">
        <f aca="false">(L203*13*$K203)</f>
        <v>0</v>
      </c>
      <c r="P203" s="138" t="n">
        <f aca="false">(M203*24*$K203)</f>
        <v>0</v>
      </c>
      <c r="Q203" s="138" t="n">
        <f aca="false">((L203+M203)*K203)*24</f>
        <v>0</v>
      </c>
      <c r="R203" s="0" t="n">
        <f aca="false">L203*8*K203</f>
        <v>0</v>
      </c>
      <c r="T203" s="0" t="n">
        <f aca="false">IF(N203=0,0,$L203*16)*$B$9</f>
        <v>0</v>
      </c>
      <c r="U203" s="0" t="n">
        <f aca="false">IF(O203=0,0,$L203*13)*$B$9</f>
        <v>0</v>
      </c>
      <c r="V203" s="0" t="n">
        <f aca="false">IF(P203=0,0,$M203*24)*$B$9</f>
        <v>0</v>
      </c>
      <c r="W203" s="0" t="n">
        <f aca="false">IF(Q203=0,0,($L203+$M203)*24)*$B$9</f>
        <v>0</v>
      </c>
      <c r="X203" s="0" t="n">
        <f aca="false">IF(R203=0,0,$L203*8)*$B$9</f>
        <v>0</v>
      </c>
    </row>
    <row r="204" customFormat="false" ht="12.75" hidden="false" customHeight="false" outlineLevel="0" collapsed="false">
      <c r="A204" s="61" t="n">
        <f aca="false">Fwd_curves!A234</f>
        <v>41153</v>
      </c>
      <c r="B204" s="0" t="n">
        <f aca="false">IF($A204&lt;$B$5,0,IF($A204&gt;$B$6,0,Fwd_curves!H234))</f>
        <v>0</v>
      </c>
      <c r="C204" s="0" t="n">
        <f aca="false">IF($A204&lt;$B$5,0,IF($A204&gt;$B$6,0,Fwd_curves!J234))</f>
        <v>0</v>
      </c>
      <c r="D204" s="0" t="n">
        <f aca="false">IF($A204&lt;$B$5,0,IF($A204&gt;$B$6,0,Fwd_curves!K234))</f>
        <v>0</v>
      </c>
      <c r="E204" s="0" t="n">
        <f aca="false">IF($A204&lt;$B$5,0,IF($A204&gt;$B$6,0,Fwd_curves!L234))</f>
        <v>0</v>
      </c>
      <c r="F204" s="0" t="n">
        <f aca="false">IF($A204&lt;$B$5,0,IF($A204&gt;$B$6,0,Fwd_curves!M234))</f>
        <v>0</v>
      </c>
      <c r="G204" s="0" t="n">
        <f aca="false">IF($A204&lt;$B$5,0,IF($A204&gt;$B$6,0,Fwd_curves!N234))</f>
        <v>0</v>
      </c>
      <c r="H204" s="54" t="n">
        <f aca="false">IF($A204&lt;$B$5,0,IF($A204&gt;$B$6,0,Fwd_curves!O234))</f>
        <v>0</v>
      </c>
      <c r="I204" s="54" t="n">
        <f aca="false">IF($A204&lt;$B$5,0,IF($A204&gt;$B$6,0,Fwd_curves!P234))</f>
        <v>0</v>
      </c>
      <c r="J204" s="0" t="n">
        <f aca="false">IF($A204&lt;$B$5,0,IF($A204&gt;$B$6,0,Fwd_curves!Q234))</f>
        <v>0</v>
      </c>
      <c r="K204" s="0" t="n">
        <f aca="false">IF(B204=0,0,$B$9*B204)</f>
        <v>0</v>
      </c>
      <c r="L204" s="56" t="n">
        <f aca="false">external_curves!AB164</f>
        <v>22</v>
      </c>
      <c r="M204" s="56" t="n">
        <f aca="false">external_curves!AA164</f>
        <v>8</v>
      </c>
      <c r="N204" s="138" t="n">
        <f aca="false">(L204*16*$K204)</f>
        <v>0</v>
      </c>
      <c r="O204" s="138" t="n">
        <f aca="false">(L204*13*$K204)</f>
        <v>0</v>
      </c>
      <c r="P204" s="138" t="n">
        <f aca="false">(M204*24*$K204)</f>
        <v>0</v>
      </c>
      <c r="Q204" s="138" t="n">
        <f aca="false">((L204+M204)*K204)*24</f>
        <v>0</v>
      </c>
      <c r="R204" s="0" t="n">
        <f aca="false">L204*8*K204</f>
        <v>0</v>
      </c>
      <c r="T204" s="0" t="n">
        <f aca="false">IF(N204=0,0,$L204*16)*$B$9</f>
        <v>0</v>
      </c>
      <c r="U204" s="0" t="n">
        <f aca="false">IF(O204=0,0,$L204*13)*$B$9</f>
        <v>0</v>
      </c>
      <c r="V204" s="0" t="n">
        <f aca="false">IF(P204=0,0,$M204*24)*$B$9</f>
        <v>0</v>
      </c>
      <c r="W204" s="0" t="n">
        <f aca="false">IF(Q204=0,0,($L204+$M204)*24)*$B$9</f>
        <v>0</v>
      </c>
      <c r="X204" s="0" t="n">
        <f aca="false">IF(R204=0,0,$L204*8)*$B$9</f>
        <v>0</v>
      </c>
    </row>
    <row r="205" customFormat="false" ht="12.75" hidden="false" customHeight="false" outlineLevel="0" collapsed="false">
      <c r="A205" s="61" t="n">
        <f aca="false">Fwd_curves!A235</f>
        <v>41183</v>
      </c>
      <c r="B205" s="0" t="n">
        <f aca="false">IF($A205&lt;$B$5,0,IF($A205&gt;$B$6,0,Fwd_curves!H235))</f>
        <v>0</v>
      </c>
      <c r="C205" s="0" t="n">
        <f aca="false">IF($A205&lt;$B$5,0,IF($A205&gt;$B$6,0,Fwd_curves!J235))</f>
        <v>0</v>
      </c>
      <c r="D205" s="0" t="n">
        <f aca="false">IF($A205&lt;$B$5,0,IF($A205&gt;$B$6,0,Fwd_curves!K235))</f>
        <v>0</v>
      </c>
      <c r="E205" s="0" t="n">
        <f aca="false">IF($A205&lt;$B$5,0,IF($A205&gt;$B$6,0,Fwd_curves!L235))</f>
        <v>0</v>
      </c>
      <c r="F205" s="0" t="n">
        <f aca="false">IF($A205&lt;$B$5,0,IF($A205&gt;$B$6,0,Fwd_curves!M235))</f>
        <v>0</v>
      </c>
      <c r="G205" s="0" t="n">
        <f aca="false">IF($A205&lt;$B$5,0,IF($A205&gt;$B$6,0,Fwd_curves!N235))</f>
        <v>0</v>
      </c>
      <c r="H205" s="54" t="n">
        <f aca="false">IF($A205&lt;$B$5,0,IF($A205&gt;$B$6,0,Fwd_curves!O235))</f>
        <v>0</v>
      </c>
      <c r="I205" s="54" t="n">
        <f aca="false">IF($A205&lt;$B$5,0,IF($A205&gt;$B$6,0,Fwd_curves!P235))</f>
        <v>0</v>
      </c>
      <c r="J205" s="0" t="n">
        <f aca="false">IF($A205&lt;$B$5,0,IF($A205&gt;$B$6,0,Fwd_curves!Q235))</f>
        <v>0</v>
      </c>
      <c r="K205" s="0" t="n">
        <f aca="false">IF(B205=0,0,$B$9*B205)</f>
        <v>0</v>
      </c>
      <c r="L205" s="56" t="n">
        <f aca="false">external_curves!AB165</f>
        <v>21</v>
      </c>
      <c r="M205" s="56" t="n">
        <f aca="false">external_curves!AA165</f>
        <v>10</v>
      </c>
      <c r="N205" s="138" t="n">
        <f aca="false">(L205*16*$K205)</f>
        <v>0</v>
      </c>
      <c r="O205" s="138" t="n">
        <f aca="false">(L205*13*$K205)</f>
        <v>0</v>
      </c>
      <c r="P205" s="138" t="n">
        <f aca="false">(M205*24*$K205)</f>
        <v>0</v>
      </c>
      <c r="Q205" s="138" t="n">
        <f aca="false">((L205+M205)*K205)*24</f>
        <v>0</v>
      </c>
      <c r="R205" s="0" t="n">
        <f aca="false">L205*8*K205</f>
        <v>0</v>
      </c>
      <c r="T205" s="0" t="n">
        <f aca="false">IF(N205=0,0,$L205*16)*$B$9</f>
        <v>0</v>
      </c>
      <c r="U205" s="0" t="n">
        <f aca="false">IF(O205=0,0,$L205*13)*$B$9</f>
        <v>0</v>
      </c>
      <c r="V205" s="0" t="n">
        <f aca="false">IF(P205=0,0,$M205*24)*$B$9</f>
        <v>0</v>
      </c>
      <c r="W205" s="0" t="n">
        <f aca="false">IF(Q205=0,0,($L205+$M205)*24)*$B$9</f>
        <v>0</v>
      </c>
      <c r="X205" s="0" t="n">
        <f aca="false">IF(R205=0,0,$L205*8)*$B$9</f>
        <v>0</v>
      </c>
    </row>
    <row r="206" customFormat="false" ht="12.75" hidden="false" customHeight="false" outlineLevel="0" collapsed="false">
      <c r="A206" s="61" t="n">
        <f aca="false">Fwd_curves!A236</f>
        <v>41214</v>
      </c>
      <c r="B206" s="0" t="n">
        <f aca="false">IF($A206&lt;$B$5,0,IF($A206&gt;$B$6,0,Fwd_curves!H236))</f>
        <v>0</v>
      </c>
      <c r="C206" s="0" t="n">
        <f aca="false">IF($A206&lt;$B$5,0,IF($A206&gt;$B$6,0,Fwd_curves!J236))</f>
        <v>0</v>
      </c>
      <c r="D206" s="0" t="n">
        <f aca="false">IF($A206&lt;$B$5,0,IF($A206&gt;$B$6,0,Fwd_curves!K236))</f>
        <v>0</v>
      </c>
      <c r="E206" s="0" t="n">
        <f aca="false">IF($A206&lt;$B$5,0,IF($A206&gt;$B$6,0,Fwd_curves!L236))</f>
        <v>0</v>
      </c>
      <c r="F206" s="0" t="n">
        <f aca="false">IF($A206&lt;$B$5,0,IF($A206&gt;$B$6,0,Fwd_curves!M236))</f>
        <v>0</v>
      </c>
      <c r="G206" s="0" t="n">
        <f aca="false">IF($A206&lt;$B$5,0,IF($A206&gt;$B$6,0,Fwd_curves!N236))</f>
        <v>0</v>
      </c>
      <c r="H206" s="54" t="n">
        <f aca="false">IF($A206&lt;$B$5,0,IF($A206&gt;$B$6,0,Fwd_curves!O236))</f>
        <v>0</v>
      </c>
      <c r="I206" s="54" t="n">
        <f aca="false">IF($A206&lt;$B$5,0,IF($A206&gt;$B$6,0,Fwd_curves!P236))</f>
        <v>0</v>
      </c>
      <c r="J206" s="0" t="n">
        <f aca="false">IF($A206&lt;$B$5,0,IF($A206&gt;$B$6,0,Fwd_curves!Q236))</f>
        <v>0</v>
      </c>
      <c r="K206" s="0" t="n">
        <f aca="false">IF(B206=0,0,$B$9*B206)</f>
        <v>0</v>
      </c>
      <c r="L206" s="56" t="n">
        <f aca="false">external_curves!AB166</f>
        <v>22</v>
      </c>
      <c r="M206" s="56" t="n">
        <f aca="false">external_curves!AA166</f>
        <v>8</v>
      </c>
      <c r="N206" s="138" t="n">
        <f aca="false">(L206*16*$K206)</f>
        <v>0</v>
      </c>
      <c r="O206" s="138" t="n">
        <f aca="false">(L206*13*$K206)</f>
        <v>0</v>
      </c>
      <c r="P206" s="138" t="n">
        <f aca="false">(M206*24*$K206)</f>
        <v>0</v>
      </c>
      <c r="Q206" s="138" t="n">
        <f aca="false">((L206+M206)*K206)*24</f>
        <v>0</v>
      </c>
      <c r="R206" s="0" t="n">
        <f aca="false">L206*8*K206</f>
        <v>0</v>
      </c>
      <c r="T206" s="0" t="n">
        <f aca="false">IF(N206=0,0,$L206*16)*$B$9</f>
        <v>0</v>
      </c>
      <c r="U206" s="0" t="n">
        <f aca="false">IF(O206=0,0,$L206*13)*$B$9</f>
        <v>0</v>
      </c>
      <c r="V206" s="0" t="n">
        <f aca="false">IF(P206=0,0,$M206*24)*$B$9</f>
        <v>0</v>
      </c>
      <c r="W206" s="0" t="n">
        <f aca="false">IF(Q206=0,0,($L206+$M206)*24)*$B$9</f>
        <v>0</v>
      </c>
      <c r="X206" s="0" t="n">
        <f aca="false">IF(R206=0,0,$L206*8)*$B$9</f>
        <v>0</v>
      </c>
    </row>
    <row r="207" customFormat="false" ht="12.75" hidden="false" customHeight="false" outlineLevel="0" collapsed="false">
      <c r="A207" s="61" t="n">
        <f aca="false">Fwd_curves!A237</f>
        <v>41244</v>
      </c>
      <c r="B207" s="0" t="n">
        <f aca="false">IF($A207&lt;$B$5,0,IF($A207&gt;$B$6,0,Fwd_curves!H237))</f>
        <v>0</v>
      </c>
      <c r="C207" s="0" t="n">
        <f aca="false">IF($A207&lt;$B$5,0,IF($A207&gt;$B$6,0,Fwd_curves!J237))</f>
        <v>0</v>
      </c>
      <c r="D207" s="0" t="n">
        <f aca="false">IF($A207&lt;$B$5,0,IF($A207&gt;$B$6,0,Fwd_curves!K237))</f>
        <v>0</v>
      </c>
      <c r="E207" s="0" t="n">
        <f aca="false">IF($A207&lt;$B$5,0,IF($A207&gt;$B$6,0,Fwd_curves!L237))</f>
        <v>0</v>
      </c>
      <c r="F207" s="0" t="n">
        <f aca="false">IF($A207&lt;$B$5,0,IF($A207&gt;$B$6,0,Fwd_curves!M237))</f>
        <v>0</v>
      </c>
      <c r="G207" s="0" t="n">
        <f aca="false">IF($A207&lt;$B$5,0,IF($A207&gt;$B$6,0,Fwd_curves!N237))</f>
        <v>0</v>
      </c>
      <c r="H207" s="54" t="n">
        <f aca="false">IF($A207&lt;$B$5,0,IF($A207&gt;$B$6,0,Fwd_curves!O237))</f>
        <v>0</v>
      </c>
      <c r="I207" s="54" t="n">
        <f aca="false">IF($A207&lt;$B$5,0,IF($A207&gt;$B$6,0,Fwd_curves!P237))</f>
        <v>0</v>
      </c>
      <c r="J207" s="0" t="n">
        <f aca="false">IF($A207&lt;$B$5,0,IF($A207&gt;$B$6,0,Fwd_curves!Q237))</f>
        <v>0</v>
      </c>
      <c r="K207" s="0" t="n">
        <f aca="false">IF(B207=0,0,$B$9*B207)</f>
        <v>0</v>
      </c>
      <c r="L207" s="56" t="n">
        <f aca="false">external_curves!AB167</f>
        <v>22</v>
      </c>
      <c r="M207" s="56" t="n">
        <f aca="false">external_curves!AA167</f>
        <v>9</v>
      </c>
      <c r="N207" s="138" t="n">
        <f aca="false">(L207*16*$K207)</f>
        <v>0</v>
      </c>
      <c r="O207" s="138" t="n">
        <f aca="false">(L207*13*$K207)</f>
        <v>0</v>
      </c>
      <c r="P207" s="138" t="n">
        <f aca="false">(M207*24*$K207)</f>
        <v>0</v>
      </c>
      <c r="Q207" s="138" t="n">
        <f aca="false">((L207+M207)*K207)*24</f>
        <v>0</v>
      </c>
      <c r="R207" s="0" t="n">
        <f aca="false">L207*8*K207</f>
        <v>0</v>
      </c>
      <c r="T207" s="0" t="n">
        <f aca="false">IF(N207=0,0,$L207*16)*$B$9</f>
        <v>0</v>
      </c>
      <c r="U207" s="0" t="n">
        <f aca="false">IF(O207=0,0,$L207*13)*$B$9</f>
        <v>0</v>
      </c>
      <c r="V207" s="0" t="n">
        <f aca="false">IF(P207=0,0,$M207*24)*$B$9</f>
        <v>0</v>
      </c>
      <c r="W207" s="0" t="n">
        <f aca="false">IF(Q207=0,0,($L207+$M207)*24)*$B$9</f>
        <v>0</v>
      </c>
      <c r="X207" s="0" t="n">
        <f aca="false">IF(R207=0,0,$L207*8)*$B$9</f>
        <v>0</v>
      </c>
    </row>
    <row r="208" customFormat="false" ht="12.75" hidden="false" customHeight="false" outlineLevel="0" collapsed="false">
      <c r="A208" s="61" t="n">
        <f aca="false">Fwd_curves!A238</f>
        <v>41275</v>
      </c>
      <c r="B208" s="0" t="n">
        <f aca="false">IF($A208&lt;$B$5,0,IF($A208&gt;$B$6,0,Fwd_curves!H238))</f>
        <v>0</v>
      </c>
      <c r="C208" s="0" t="n">
        <f aca="false">IF($A208&lt;$B$5,0,IF($A208&gt;$B$6,0,Fwd_curves!J238))</f>
        <v>0</v>
      </c>
      <c r="D208" s="0" t="n">
        <f aca="false">IF($A208&lt;$B$5,0,IF($A208&gt;$B$6,0,Fwd_curves!K238))</f>
        <v>0</v>
      </c>
      <c r="E208" s="0" t="n">
        <f aca="false">IF($A208&lt;$B$5,0,IF($A208&gt;$B$6,0,Fwd_curves!L238))</f>
        <v>0</v>
      </c>
      <c r="F208" s="0" t="n">
        <f aca="false">IF($A208&lt;$B$5,0,IF($A208&gt;$B$6,0,Fwd_curves!M238))</f>
        <v>0</v>
      </c>
      <c r="G208" s="0" t="n">
        <f aca="false">IF($A208&lt;$B$5,0,IF($A208&gt;$B$6,0,Fwd_curves!N238))</f>
        <v>0</v>
      </c>
      <c r="H208" s="54" t="n">
        <f aca="false">IF($A208&lt;$B$5,0,IF($A208&gt;$B$6,0,Fwd_curves!O252))</f>
        <v>0</v>
      </c>
      <c r="I208" s="54" t="n">
        <f aca="false">IF($A208&lt;$B$5,0,IF($A208&gt;$B$6,0,Fwd_curves!P252))</f>
        <v>0</v>
      </c>
    </row>
    <row r="209" customFormat="false" ht="12.75" hidden="false" customHeight="false" outlineLevel="0" collapsed="false">
      <c r="A209" s="61" t="n">
        <f aca="false">Fwd_curves!A239</f>
        <v>41306</v>
      </c>
      <c r="B209" s="0" t="n">
        <f aca="false">IF($A209&lt;$B$5,0,IF($A209&gt;$B$6,0,Fwd_curves!H239))</f>
        <v>0</v>
      </c>
      <c r="C209" s="0" t="n">
        <f aca="false">IF($A209&lt;$B$5,0,IF($A209&gt;$B$6,0,Fwd_curves!J239))</f>
        <v>0</v>
      </c>
      <c r="D209" s="0" t="n">
        <f aca="false">IF($A209&lt;$B$5,0,IF($A209&gt;$B$6,0,Fwd_curves!K239))</f>
        <v>0</v>
      </c>
      <c r="E209" s="0" t="n">
        <f aca="false">IF($A209&lt;$B$5,0,IF($A209&gt;$B$6,0,Fwd_curves!L239))</f>
        <v>0</v>
      </c>
      <c r="F209" s="0" t="n">
        <f aca="false">IF($A209&lt;$B$5,0,IF($A209&gt;$B$6,0,Fwd_curves!M239))</f>
        <v>0</v>
      </c>
      <c r="G209" s="0" t="n">
        <f aca="false">IF($A209&lt;$B$5,0,IF($A209&gt;$B$6,0,Fwd_curves!N239))</f>
        <v>0</v>
      </c>
      <c r="H209" s="54" t="n">
        <f aca="false">IF($A209&lt;$B$5,0,IF($A209&gt;$B$6,0,Fwd_curves!O253))</f>
        <v>0</v>
      </c>
      <c r="I209" s="54" t="n">
        <f aca="false">IF($A209&lt;$B$5,0,IF($A209&gt;$B$6,0,Fwd_curves!P253))</f>
        <v>0</v>
      </c>
    </row>
    <row r="210" customFormat="false" ht="12.75" hidden="false" customHeight="false" outlineLevel="0" collapsed="false">
      <c r="A210" s="61" t="n">
        <f aca="false">Fwd_curves!A240</f>
        <v>41334</v>
      </c>
      <c r="B210" s="0" t="n">
        <f aca="false">IF($A210&lt;$B$5,0,IF($A210&gt;$B$6,0,Fwd_curves!H240))</f>
        <v>0</v>
      </c>
      <c r="C210" s="0" t="n">
        <f aca="false">IF($A210&lt;$B$5,0,IF($A210&gt;$B$6,0,Fwd_curves!J240))</f>
        <v>0</v>
      </c>
      <c r="D210" s="0" t="n">
        <f aca="false">IF($A210&lt;$B$5,0,IF($A210&gt;$B$6,0,Fwd_curves!K240))</f>
        <v>0</v>
      </c>
      <c r="E210" s="0" t="n">
        <f aca="false">IF($A210&lt;$B$5,0,IF($A210&gt;$B$6,0,Fwd_curves!L240))</f>
        <v>0</v>
      </c>
      <c r="F210" s="0" t="n">
        <f aca="false">IF($A210&lt;$B$5,0,IF($A210&gt;$B$6,0,Fwd_curves!M240))</f>
        <v>0</v>
      </c>
      <c r="G210" s="0" t="n">
        <f aca="false">IF($A210&lt;$B$5,0,IF($A210&gt;$B$6,0,Fwd_curves!N240))</f>
        <v>0</v>
      </c>
      <c r="H210" s="54" t="n">
        <f aca="false">IF($A210&lt;$B$5,0,IF($A210&gt;$B$6,0,Fwd_curves!O254))</f>
        <v>0</v>
      </c>
      <c r="I210" s="54" t="n">
        <f aca="false">IF($A210&lt;$B$5,0,IF($A210&gt;$B$6,0,Fwd_curves!P254))</f>
        <v>0</v>
      </c>
    </row>
    <row r="211" customFormat="false" ht="12.75" hidden="false" customHeight="false" outlineLevel="0" collapsed="false">
      <c r="A211" s="61" t="n">
        <f aca="false">Fwd_curves!A241</f>
        <v>41365</v>
      </c>
      <c r="B211" s="0" t="n">
        <f aca="false">IF($A211&lt;$B$5,0,IF($A211&gt;$B$6,0,Fwd_curves!H241))</f>
        <v>0</v>
      </c>
      <c r="C211" s="0" t="n">
        <f aca="false">IF($A211&lt;$B$5,0,IF($A211&gt;$B$6,0,Fwd_curves!J241))</f>
        <v>0</v>
      </c>
      <c r="D211" s="0" t="n">
        <f aca="false">IF($A211&lt;$B$5,0,IF($A211&gt;$B$6,0,Fwd_curves!K241))</f>
        <v>0</v>
      </c>
      <c r="E211" s="0" t="n">
        <f aca="false">IF($A211&lt;$B$5,0,IF($A211&gt;$B$6,0,Fwd_curves!L241))</f>
        <v>0</v>
      </c>
      <c r="F211" s="0" t="n">
        <f aca="false">IF($A211&lt;$B$5,0,IF($A211&gt;$B$6,0,Fwd_curves!M241))</f>
        <v>0</v>
      </c>
      <c r="G211" s="0" t="n">
        <f aca="false">IF($A211&lt;$B$5,0,IF($A211&gt;$B$6,0,Fwd_curves!N241))</f>
        <v>0</v>
      </c>
      <c r="H211" s="54" t="n">
        <f aca="false">IF($A211&lt;$B$5,0,IF($A211&gt;$B$6,0,Fwd_curves!O255))</f>
        <v>0</v>
      </c>
      <c r="I211" s="54" t="n">
        <f aca="false">IF($A211&lt;$B$5,0,IF($A211&gt;$B$6,0,Fwd_curves!P255))</f>
        <v>0</v>
      </c>
    </row>
    <row r="212" customFormat="false" ht="12.75" hidden="false" customHeight="false" outlineLevel="0" collapsed="false">
      <c r="A212" s="61" t="n">
        <f aca="false">Fwd_curves!A242</f>
        <v>41395</v>
      </c>
      <c r="B212" s="0" t="n">
        <f aca="false">IF($A212&lt;$B$5,0,IF($A212&gt;$B$6,0,Fwd_curves!H242))</f>
        <v>0</v>
      </c>
      <c r="C212" s="0" t="n">
        <f aca="false">IF($A212&lt;$B$5,0,IF($A212&gt;$B$6,0,Fwd_curves!J242))</f>
        <v>0</v>
      </c>
      <c r="D212" s="0" t="n">
        <f aca="false">IF($A212&lt;$B$5,0,IF($A212&gt;$B$6,0,Fwd_curves!K242))</f>
        <v>0</v>
      </c>
      <c r="E212" s="0" t="n">
        <f aca="false">IF($A212&lt;$B$5,0,IF($A212&gt;$B$6,0,Fwd_curves!L242))</f>
        <v>0</v>
      </c>
      <c r="F212" s="0" t="n">
        <f aca="false">IF($A212&lt;$B$5,0,IF($A212&gt;$B$6,0,Fwd_curves!M242))</f>
        <v>0</v>
      </c>
      <c r="G212" s="0" t="n">
        <f aca="false">IF($A212&lt;$B$5,0,IF($A212&gt;$B$6,0,Fwd_curves!N242))</f>
        <v>0</v>
      </c>
      <c r="H212" s="54" t="n">
        <f aca="false">IF($A212&lt;$B$5,0,IF($A212&gt;$B$6,0,Fwd_curves!O256))</f>
        <v>0</v>
      </c>
      <c r="I212" s="54" t="n">
        <f aca="false">IF($A212&lt;$B$5,0,IF($A212&gt;$B$6,0,Fwd_curves!P256))</f>
        <v>0</v>
      </c>
    </row>
    <row r="213" customFormat="false" ht="12.75" hidden="false" customHeight="false" outlineLevel="0" collapsed="false">
      <c r="A213" s="61" t="n">
        <f aca="false">Fwd_curves!A243</f>
        <v>41426</v>
      </c>
      <c r="B213" s="0" t="n">
        <f aca="false">IF($A213&lt;$B$5,0,IF($A213&gt;$B$6,0,Fwd_curves!H243))</f>
        <v>0</v>
      </c>
      <c r="C213" s="0" t="n">
        <f aca="false">IF($A213&lt;$B$5,0,IF($A213&gt;$B$6,0,Fwd_curves!J243))</f>
        <v>0</v>
      </c>
      <c r="D213" s="0" t="n">
        <f aca="false">IF($A213&lt;$B$5,0,IF($A213&gt;$B$6,0,Fwd_curves!K243))</f>
        <v>0</v>
      </c>
      <c r="E213" s="0" t="n">
        <f aca="false">IF($A213&lt;$B$5,0,IF($A213&gt;$B$6,0,Fwd_curves!L243))</f>
        <v>0</v>
      </c>
      <c r="F213" s="0" t="n">
        <f aca="false">IF($A213&lt;$B$5,0,IF($A213&gt;$B$6,0,Fwd_curves!M243))</f>
        <v>0</v>
      </c>
      <c r="G213" s="0" t="n">
        <f aca="false">IF($A213&lt;$B$5,0,IF($A213&gt;$B$6,0,Fwd_curves!N243))</f>
        <v>0</v>
      </c>
      <c r="H213" s="54" t="n">
        <f aca="false">IF($A213&lt;$B$5,0,IF($A213&gt;$B$6,0,Fwd_curves!O257))</f>
        <v>0</v>
      </c>
      <c r="I213" s="54" t="n">
        <f aca="false">IF($A213&lt;$B$5,0,IF($A213&gt;$B$6,0,Fwd_curves!P257))</f>
        <v>0</v>
      </c>
    </row>
    <row r="214" customFormat="false" ht="12.75" hidden="false" customHeight="false" outlineLevel="0" collapsed="false">
      <c r="A214" s="61" t="n">
        <f aca="false">Fwd_curves!A244</f>
        <v>41456</v>
      </c>
      <c r="B214" s="0" t="n">
        <f aca="false">IF($A214&lt;$B$5,0,IF($A214&gt;$B$6,0,Fwd_curves!H244))</f>
        <v>0</v>
      </c>
      <c r="C214" s="0" t="n">
        <f aca="false">IF($A214&lt;$B$5,0,IF($A214&gt;$B$6,0,Fwd_curves!J244))</f>
        <v>0</v>
      </c>
      <c r="D214" s="0" t="n">
        <f aca="false">IF($A214&lt;$B$5,0,IF($A214&gt;$B$6,0,Fwd_curves!K244))</f>
        <v>0</v>
      </c>
      <c r="E214" s="0" t="n">
        <f aca="false">IF($A214&lt;$B$5,0,IF($A214&gt;$B$6,0,Fwd_curves!L244))</f>
        <v>0</v>
      </c>
      <c r="F214" s="0" t="n">
        <f aca="false">IF($A214&lt;$B$5,0,IF($A214&gt;$B$6,0,Fwd_curves!M244))</f>
        <v>0</v>
      </c>
      <c r="G214" s="0" t="n">
        <f aca="false">IF($A214&lt;$B$5,0,IF($A214&gt;$B$6,0,Fwd_curves!N244))</f>
        <v>0</v>
      </c>
      <c r="H214" s="54" t="n">
        <f aca="false">IF($A214&lt;$B$5,0,IF($A214&gt;$B$6,0,Fwd_curves!O258))</f>
        <v>0</v>
      </c>
      <c r="I214" s="54" t="n">
        <f aca="false">IF($A214&lt;$B$5,0,IF($A214&gt;$B$6,0,Fwd_curves!P258))</f>
        <v>0</v>
      </c>
    </row>
    <row r="215" customFormat="false" ht="12.75" hidden="false" customHeight="false" outlineLevel="0" collapsed="false">
      <c r="A215" s="61" t="n">
        <f aca="false">Fwd_curves!A245</f>
        <v>41487</v>
      </c>
      <c r="B215" s="0" t="n">
        <f aca="false">IF($A215&lt;$B$5,0,IF($A215&gt;$B$6,0,Fwd_curves!H245))</f>
        <v>0</v>
      </c>
      <c r="C215" s="0" t="n">
        <f aca="false">IF($A215&lt;$B$5,0,IF($A215&gt;$B$6,0,Fwd_curves!J245))</f>
        <v>0</v>
      </c>
      <c r="D215" s="0" t="n">
        <f aca="false">IF($A215&lt;$B$5,0,IF($A215&gt;$B$6,0,Fwd_curves!K245))</f>
        <v>0</v>
      </c>
      <c r="E215" s="0" t="n">
        <f aca="false">IF($A215&lt;$B$5,0,IF($A215&gt;$B$6,0,Fwd_curves!L245))</f>
        <v>0</v>
      </c>
      <c r="F215" s="0" t="n">
        <f aca="false">IF($A215&lt;$B$5,0,IF($A215&gt;$B$6,0,Fwd_curves!M245))</f>
        <v>0</v>
      </c>
      <c r="G215" s="0" t="n">
        <f aca="false">IF($A215&lt;$B$5,0,IF($A215&gt;$B$6,0,Fwd_curves!N245))</f>
        <v>0</v>
      </c>
      <c r="H215" s="54" t="n">
        <f aca="false">IF($A215&lt;$B$5,0,IF($A215&gt;$B$6,0,Fwd_curves!O259))</f>
        <v>0</v>
      </c>
      <c r="I215" s="54" t="n">
        <f aca="false">IF($A215&lt;$B$5,0,IF($A215&gt;$B$6,0,Fwd_curves!P259))</f>
        <v>0</v>
      </c>
    </row>
    <row r="216" customFormat="false" ht="12.75" hidden="false" customHeight="false" outlineLevel="0" collapsed="false">
      <c r="A216" s="61" t="n">
        <f aca="false">Fwd_curves!A246</f>
        <v>41518</v>
      </c>
      <c r="B216" s="0" t="n">
        <f aca="false">IF($A216&lt;$B$5,0,IF($A216&gt;$B$6,0,Fwd_curves!H246))</f>
        <v>0</v>
      </c>
      <c r="C216" s="0" t="n">
        <f aca="false">IF($A216&lt;$B$5,0,IF($A216&gt;$B$6,0,Fwd_curves!J246))</f>
        <v>0</v>
      </c>
      <c r="D216" s="0" t="n">
        <f aca="false">IF($A216&lt;$B$5,0,IF($A216&gt;$B$6,0,Fwd_curves!K246))</f>
        <v>0</v>
      </c>
      <c r="E216" s="0" t="n">
        <f aca="false">IF($A216&lt;$B$5,0,IF($A216&gt;$B$6,0,Fwd_curves!L246))</f>
        <v>0</v>
      </c>
      <c r="F216" s="0" t="n">
        <f aca="false">IF($A216&lt;$B$5,0,IF($A216&gt;$B$6,0,Fwd_curves!M246))</f>
        <v>0</v>
      </c>
      <c r="G216" s="0" t="n">
        <f aca="false">IF($A216&lt;$B$5,0,IF($A216&gt;$B$6,0,Fwd_curves!N246))</f>
        <v>0</v>
      </c>
      <c r="H216" s="54" t="n">
        <f aca="false">IF($A216&lt;$B$5,0,IF($A216&gt;$B$6,0,Fwd_curves!O260))</f>
        <v>0</v>
      </c>
      <c r="I216" s="54" t="n">
        <f aca="false">IF($A216&lt;$B$5,0,IF($A216&gt;$B$6,0,Fwd_curves!P260))</f>
        <v>0</v>
      </c>
    </row>
    <row r="217" customFormat="false" ht="12.75" hidden="false" customHeight="false" outlineLevel="0" collapsed="false">
      <c r="A217" s="61" t="n">
        <f aca="false">Fwd_curves!A247</f>
        <v>41548</v>
      </c>
      <c r="B217" s="0" t="n">
        <f aca="false">IF($A217&lt;$B$5,0,IF($A217&gt;$B$6,0,Fwd_curves!H247))</f>
        <v>0</v>
      </c>
      <c r="C217" s="0" t="n">
        <f aca="false">IF($A217&lt;$B$5,0,IF($A217&gt;$B$6,0,Fwd_curves!J247))</f>
        <v>0</v>
      </c>
      <c r="D217" s="0" t="n">
        <f aca="false">IF($A217&lt;$B$5,0,IF($A217&gt;$B$6,0,Fwd_curves!K247))</f>
        <v>0</v>
      </c>
      <c r="E217" s="0" t="n">
        <f aca="false">IF($A217&lt;$B$5,0,IF($A217&gt;$B$6,0,Fwd_curves!L247))</f>
        <v>0</v>
      </c>
      <c r="F217" s="0" t="n">
        <f aca="false">IF($A217&lt;$B$5,0,IF($A217&gt;$B$6,0,Fwd_curves!M247))</f>
        <v>0</v>
      </c>
      <c r="G217" s="0" t="n">
        <f aca="false">IF($A217&lt;$B$5,0,IF($A217&gt;$B$6,0,Fwd_curves!N247))</f>
        <v>0</v>
      </c>
      <c r="H217" s="54" t="n">
        <f aca="false">IF($A217&lt;$B$5,0,IF($A217&gt;$B$6,0,Fwd_curves!O261))</f>
        <v>0</v>
      </c>
      <c r="I217" s="54" t="n">
        <f aca="false">IF($A217&lt;$B$5,0,IF($A217&gt;$B$6,0,Fwd_curves!P261))</f>
        <v>0</v>
      </c>
    </row>
    <row r="218" customFormat="false" ht="12.75" hidden="false" customHeight="false" outlineLevel="0" collapsed="false">
      <c r="A218" s="61" t="n">
        <f aca="false">Fwd_curves!A248</f>
        <v>41579</v>
      </c>
      <c r="B218" s="0" t="n">
        <f aca="false">IF($A218&lt;$B$5,0,IF($A218&gt;$B$6,0,Fwd_curves!H248))</f>
        <v>0</v>
      </c>
      <c r="C218" s="0" t="n">
        <f aca="false">IF($A218&lt;$B$5,0,IF($A218&gt;$B$6,0,Fwd_curves!J248))</f>
        <v>0</v>
      </c>
      <c r="D218" s="0" t="n">
        <f aca="false">IF($A218&lt;$B$5,0,IF($A218&gt;$B$6,0,Fwd_curves!K248))</f>
        <v>0</v>
      </c>
      <c r="E218" s="0" t="n">
        <f aca="false">IF($A218&lt;$B$5,0,IF($A218&gt;$B$6,0,Fwd_curves!L248))</f>
        <v>0</v>
      </c>
      <c r="F218" s="0" t="n">
        <f aca="false">IF($A218&lt;$B$5,0,IF($A218&gt;$B$6,0,Fwd_curves!M248))</f>
        <v>0</v>
      </c>
      <c r="G218" s="0" t="n">
        <f aca="false">IF($A218&lt;$B$5,0,IF($A218&gt;$B$6,0,Fwd_curves!N248))</f>
        <v>0</v>
      </c>
      <c r="H218" s="54" t="n">
        <f aca="false">IF($A218&lt;$B$5,0,IF($A218&gt;$B$6,0,Fwd_curves!M262))</f>
        <v>0</v>
      </c>
      <c r="I218" s="54" t="n">
        <f aca="false">IF($A218&lt;$B$5,0,IF($A218&gt;$B$6,0,Fwd_curves!N262))</f>
        <v>0</v>
      </c>
    </row>
    <row r="219" customFormat="false" ht="12.75" hidden="false" customHeight="false" outlineLevel="0" collapsed="false">
      <c r="A219" s="61" t="n">
        <f aca="false">Fwd_curves!A249</f>
        <v>41609</v>
      </c>
      <c r="B219" s="0" t="n">
        <f aca="false">IF($A219&lt;$B$5,0,IF($A219&gt;$B$6,0,Fwd_curves!H249))</f>
        <v>0</v>
      </c>
      <c r="C219" s="0" t="n">
        <f aca="false">IF($A219&lt;$B$5,0,IF($A219&gt;$B$6,0,Fwd_curves!J249))</f>
        <v>0</v>
      </c>
      <c r="D219" s="0" t="n">
        <f aca="false">IF($A219&lt;$B$5,0,IF($A219&gt;$B$6,0,Fwd_curves!K249))</f>
        <v>0</v>
      </c>
      <c r="E219" s="0" t="n">
        <f aca="false">IF($A219&lt;$B$5,0,IF($A219&gt;$B$6,0,Fwd_curves!L249))</f>
        <v>0</v>
      </c>
      <c r="F219" s="0" t="n">
        <f aca="false">IF($A219&lt;$B$5,0,IF($A219&gt;$B$6,0,Fwd_curves!M249))</f>
        <v>0</v>
      </c>
      <c r="G219" s="0" t="n">
        <f aca="false">IF($A219&lt;$B$5,0,IF($A219&gt;$B$6,0,Fwd_curves!N249))</f>
        <v>0</v>
      </c>
      <c r="H219" s="54" t="n">
        <f aca="false">IF($A219&lt;$B$5,0,IF($A219&gt;$B$6,0,Fwd_curves!M263))</f>
        <v>0</v>
      </c>
      <c r="I219" s="54" t="n">
        <f aca="false">IF($A219&lt;$B$5,0,IF($A219&gt;$B$6,0,Fwd_curves!N263))</f>
        <v>0</v>
      </c>
    </row>
    <row r="220" customFormat="false" ht="12.75" hidden="false" customHeight="false" outlineLevel="0" collapsed="false">
      <c r="A220" s="61" t="n">
        <f aca="false">Fwd_curves!A250</f>
        <v>41640</v>
      </c>
      <c r="B220" s="0" t="n">
        <f aca="false">IF($A220&lt;$B$5,0,IF($A220&gt;$B$6,0,Fwd_curves!H250))</f>
        <v>0</v>
      </c>
      <c r="C220" s="0" t="n">
        <f aca="false">IF($A220&lt;$B$5,0,IF($A220&gt;$B$6,0,Fwd_curves!J250))</f>
        <v>0</v>
      </c>
      <c r="D220" s="0" t="n">
        <f aca="false">IF($A220&lt;$B$5,0,IF($A220&gt;$B$6,0,Fwd_curves!K250))</f>
        <v>0</v>
      </c>
      <c r="E220" s="0" t="n">
        <f aca="false">IF($A220&lt;$B$5,0,IF($A220&gt;$B$6,0,Fwd_curves!L250))</f>
        <v>0</v>
      </c>
      <c r="F220" s="0" t="n">
        <f aca="false">IF($A220&lt;$B$5,0,IF($A220&gt;$B$6,0,Fwd_curves!M250))</f>
        <v>0</v>
      </c>
      <c r="G220" s="0" t="n">
        <f aca="false">IF($A220&lt;$B$5,0,IF($A220&gt;$B$6,0,Fwd_curves!N250))</f>
        <v>0</v>
      </c>
      <c r="H220" s="54" t="n">
        <f aca="false">IF($A220&lt;$B$5,0,IF($A220&gt;$B$6,0,Fwd_curves!M264))</f>
        <v>0</v>
      </c>
      <c r="I220" s="54" t="n">
        <f aca="false">IF($A220&lt;$B$5,0,IF($A220&gt;$B$6,0,Fwd_curves!N264))</f>
        <v>0</v>
      </c>
    </row>
    <row r="221" customFormat="false" ht="12.75" hidden="false" customHeight="false" outlineLevel="0" collapsed="false">
      <c r="A221" s="61" t="n">
        <f aca="false">Fwd_curves!A251</f>
        <v>41671</v>
      </c>
      <c r="B221" s="0" t="n">
        <f aca="false">IF($A221&lt;$B$5,0,IF($A221&gt;$B$6,0,Fwd_curves!H251))</f>
        <v>0</v>
      </c>
      <c r="C221" s="0" t="n">
        <f aca="false">IF($A221&lt;$B$5,0,IF($A221&gt;$B$6,0,Fwd_curves!J251))</f>
        <v>0</v>
      </c>
      <c r="D221" s="0" t="n">
        <f aca="false">IF($A221&lt;$B$5,0,IF($A221&gt;$B$6,0,Fwd_curves!K251))</f>
        <v>0</v>
      </c>
      <c r="E221" s="0" t="n">
        <f aca="false">IF($A221&lt;$B$5,0,IF($A221&gt;$B$6,0,Fwd_curves!L251))</f>
        <v>0</v>
      </c>
      <c r="F221" s="0" t="n">
        <f aca="false">IF($A221&lt;$B$5,0,IF($A221&gt;$B$6,0,Fwd_curves!M251))</f>
        <v>0</v>
      </c>
      <c r="G221" s="0" t="n">
        <f aca="false">IF($A221&lt;$B$5,0,IF($A221&gt;$B$6,0,Fwd_curves!N251))</f>
        <v>0</v>
      </c>
      <c r="H221" s="54" t="n">
        <f aca="false">IF($A221&lt;$B$5,0,IF($A221&gt;$B$6,0,Fwd_curves!M265))</f>
        <v>0</v>
      </c>
      <c r="I221" s="54" t="n">
        <f aca="false">IF($A221&lt;$B$5,0,IF($A221&gt;$B$6,0,Fwd_curves!N265))</f>
        <v>0</v>
      </c>
    </row>
    <row r="222" customFormat="false" ht="12.75" hidden="false" customHeight="false" outlineLevel="0" collapsed="false">
      <c r="A222" s="61" t="n">
        <f aca="false">Fwd_curves!A252</f>
        <v>41699</v>
      </c>
      <c r="B222" s="0" t="n">
        <f aca="false">IF($A222&lt;$B$5,0,IF($A222&gt;$B$6,0,Fwd_curves!H252))</f>
        <v>0</v>
      </c>
      <c r="C222" s="0" t="n">
        <f aca="false">IF($A222&lt;$B$5,0,IF($A222&gt;$B$6,0,Fwd_curves!J252))</f>
        <v>0</v>
      </c>
      <c r="D222" s="0" t="n">
        <f aca="false">IF($A222&lt;$B$5,0,IF($A222&gt;$B$6,0,Fwd_curves!K252))</f>
        <v>0</v>
      </c>
      <c r="E222" s="0" t="n">
        <f aca="false">IF($A222&lt;$B$5,0,IF($A222&gt;$B$6,0,Fwd_curves!L252))</f>
        <v>0</v>
      </c>
      <c r="F222" s="0" t="n">
        <f aca="false">IF($A222&lt;$B$5,0,IF($A222&gt;$B$6,0,Fwd_curves!M252))</f>
        <v>0</v>
      </c>
      <c r="G222" s="0" t="n">
        <f aca="false">IF($A222&lt;$B$5,0,IF($A222&gt;$B$6,0,Fwd_curves!N252))</f>
        <v>0</v>
      </c>
      <c r="H222" s="54" t="n">
        <f aca="false">IF($A222&lt;$B$5,0,IF($A222&gt;$B$6,0,Fwd_curves!M266))</f>
        <v>0</v>
      </c>
      <c r="I222" s="54" t="n">
        <f aca="false">IF($A222&lt;$B$5,0,IF($A222&gt;$B$6,0,Fwd_curves!N266))</f>
        <v>0</v>
      </c>
    </row>
    <row r="223" customFormat="false" ht="12.75" hidden="false" customHeight="false" outlineLevel="0" collapsed="false">
      <c r="A223" s="61" t="n">
        <f aca="false">Fwd_curves!A253</f>
        <v>41730</v>
      </c>
      <c r="B223" s="0" t="n">
        <f aca="false">IF($A223&lt;$B$5,0,IF($A223&gt;$B$6,0,Fwd_curves!H253))</f>
        <v>0</v>
      </c>
      <c r="C223" s="0" t="n">
        <f aca="false">IF($A223&lt;$B$5,0,IF($A223&gt;$B$6,0,Fwd_curves!J253))</f>
        <v>0</v>
      </c>
      <c r="D223" s="0" t="n">
        <f aca="false">IF($A223&lt;$B$5,0,IF($A223&gt;$B$6,0,Fwd_curves!K253))</f>
        <v>0</v>
      </c>
      <c r="E223" s="0" t="n">
        <f aca="false">IF($A223&lt;$B$5,0,IF($A223&gt;$B$6,0,Fwd_curves!L253))</f>
        <v>0</v>
      </c>
      <c r="F223" s="0" t="n">
        <f aca="false">IF($A223&lt;$B$5,0,IF($A223&gt;$B$6,0,Fwd_curves!M253))</f>
        <v>0</v>
      </c>
      <c r="G223" s="0" t="n">
        <f aca="false">IF($A223&lt;$B$5,0,IF($A223&gt;$B$6,0,Fwd_curves!N253))</f>
        <v>0</v>
      </c>
      <c r="H223" s="54" t="n">
        <f aca="false">IF($A223&lt;$B$5,0,IF($A223&gt;$B$6,0,Fwd_curves!M267))</f>
        <v>0</v>
      </c>
      <c r="I223" s="54" t="n">
        <f aca="false">IF($A223&lt;$B$5,0,IF($A223&gt;$B$6,0,Fwd_curves!N267))</f>
        <v>0</v>
      </c>
    </row>
    <row r="224" customFormat="false" ht="12.75" hidden="false" customHeight="false" outlineLevel="0" collapsed="false">
      <c r="A224" s="61" t="n">
        <f aca="false">Fwd_curves!A254</f>
        <v>41760</v>
      </c>
      <c r="B224" s="0" t="n">
        <f aca="false">IF($A224&lt;$B$5,0,IF($A224&gt;$B$6,0,Fwd_curves!H254))</f>
        <v>0</v>
      </c>
      <c r="C224" s="0" t="n">
        <f aca="false">IF($A224&lt;$B$5,0,IF($A224&gt;$B$6,0,Fwd_curves!J254))</f>
        <v>0</v>
      </c>
      <c r="D224" s="0" t="n">
        <f aca="false">IF($A224&lt;$B$5,0,IF($A224&gt;$B$6,0,Fwd_curves!K254))</f>
        <v>0</v>
      </c>
      <c r="E224" s="0" t="n">
        <f aca="false">IF($A224&lt;$B$5,0,IF($A224&gt;$B$6,0,Fwd_curves!L254))</f>
        <v>0</v>
      </c>
      <c r="F224" s="0" t="n">
        <f aca="false">IF($A224&lt;$B$5,0,IF($A224&gt;$B$6,0,Fwd_curves!M254))</f>
        <v>0</v>
      </c>
      <c r="G224" s="0" t="n">
        <f aca="false">IF($A224&lt;$B$5,0,IF($A224&gt;$B$6,0,Fwd_curves!N254))</f>
        <v>0</v>
      </c>
      <c r="H224" s="54" t="n">
        <f aca="false">IF($A224&lt;$B$5,0,IF($A224&gt;$B$6,0,Fwd_curves!M268))</f>
        <v>0</v>
      </c>
      <c r="I224" s="54" t="n">
        <f aca="false">IF($A224&lt;$B$5,0,IF($A224&gt;$B$6,0,Fwd_curves!N268))</f>
        <v>0</v>
      </c>
    </row>
    <row r="225" customFormat="false" ht="12.75" hidden="false" customHeight="false" outlineLevel="0" collapsed="false">
      <c r="A225" s="61" t="n">
        <f aca="false">Fwd_curves!A255</f>
        <v>41791</v>
      </c>
      <c r="B225" s="0" t="n">
        <f aca="false">IF($A225&lt;$B$5,0,IF($A225&gt;$B$6,0,Fwd_curves!H255))</f>
        <v>0</v>
      </c>
      <c r="C225" s="0" t="n">
        <f aca="false">IF($A225&lt;$B$5,0,IF($A225&gt;$B$6,0,Fwd_curves!J255))</f>
        <v>0</v>
      </c>
      <c r="D225" s="0" t="n">
        <f aca="false">IF($A225&lt;$B$5,0,IF($A225&gt;$B$6,0,Fwd_curves!K255))</f>
        <v>0</v>
      </c>
      <c r="E225" s="0" t="n">
        <f aca="false">IF($A225&lt;$B$5,0,IF($A225&gt;$B$6,0,Fwd_curves!L255))</f>
        <v>0</v>
      </c>
      <c r="F225" s="0" t="n">
        <f aca="false">IF($A225&lt;$B$5,0,IF($A225&gt;$B$6,0,Fwd_curves!M255))</f>
        <v>0</v>
      </c>
      <c r="G225" s="0" t="n">
        <f aca="false">IF($A225&lt;$B$5,0,IF($A225&gt;$B$6,0,Fwd_curves!N255))</f>
        <v>0</v>
      </c>
      <c r="H225" s="54" t="n">
        <f aca="false">IF($A225&lt;$B$5,0,IF($A225&gt;$B$6,0,Fwd_curves!M269))</f>
        <v>0</v>
      </c>
      <c r="I225" s="54" t="n">
        <f aca="false">IF($A225&lt;$B$5,0,IF($A225&gt;$B$6,0,Fwd_curves!N269))</f>
        <v>0</v>
      </c>
    </row>
    <row r="226" customFormat="false" ht="12.75" hidden="false" customHeight="false" outlineLevel="0" collapsed="false">
      <c r="A226" s="61" t="n">
        <f aca="false">Fwd_curves!A256</f>
        <v>41821</v>
      </c>
      <c r="B226" s="0" t="n">
        <f aca="false">IF($A226&lt;$B$5,0,IF($A226&gt;$B$6,0,Fwd_curves!H256))</f>
        <v>0</v>
      </c>
      <c r="C226" s="0" t="n">
        <f aca="false">IF($A226&lt;$B$5,0,IF($A226&gt;$B$6,0,Fwd_curves!J256))</f>
        <v>0</v>
      </c>
      <c r="D226" s="0" t="n">
        <f aca="false">IF($A226&lt;$B$5,0,IF($A226&gt;$B$6,0,Fwd_curves!K256))</f>
        <v>0</v>
      </c>
      <c r="E226" s="0" t="n">
        <f aca="false">IF($A226&lt;$B$5,0,IF($A226&gt;$B$6,0,Fwd_curves!L256))</f>
        <v>0</v>
      </c>
      <c r="F226" s="0" t="n">
        <f aca="false">IF($A226&lt;$B$5,0,IF($A226&gt;$B$6,0,Fwd_curves!M256))</f>
        <v>0</v>
      </c>
      <c r="G226" s="0" t="n">
        <f aca="false">IF($A226&lt;$B$5,0,IF($A226&gt;$B$6,0,Fwd_curves!N256))</f>
        <v>0</v>
      </c>
      <c r="H226" s="54" t="n">
        <f aca="false">IF($A226&lt;$B$5,0,IF($A226&gt;$B$6,0,Fwd_curves!M270))</f>
        <v>0</v>
      </c>
      <c r="I226" s="54" t="n">
        <f aca="false">IF($A226&lt;$B$5,0,IF($A226&gt;$B$6,0,Fwd_curves!N270))</f>
        <v>0</v>
      </c>
    </row>
    <row r="227" customFormat="false" ht="12.75" hidden="false" customHeight="false" outlineLevel="0" collapsed="false">
      <c r="A227" s="61" t="n">
        <f aca="false">Fwd_curves!A257</f>
        <v>41852</v>
      </c>
      <c r="B227" s="0" t="n">
        <f aca="false">IF($A227&lt;$B$5,0,IF($A227&gt;$B$6,0,Fwd_curves!H257))</f>
        <v>0</v>
      </c>
      <c r="C227" s="0" t="n">
        <f aca="false">IF($A227&lt;$B$5,0,IF($A227&gt;$B$6,0,Fwd_curves!J257))</f>
        <v>0</v>
      </c>
      <c r="D227" s="0" t="n">
        <f aca="false">IF($A227&lt;$B$5,0,IF($A227&gt;$B$6,0,Fwd_curves!K257))</f>
        <v>0</v>
      </c>
      <c r="E227" s="0" t="n">
        <f aca="false">IF($A227&lt;$B$5,0,IF($A227&gt;$B$6,0,Fwd_curves!L257))</f>
        <v>0</v>
      </c>
      <c r="F227" s="0" t="n">
        <f aca="false">IF($A227&lt;$B$5,0,IF($A227&gt;$B$6,0,Fwd_curves!M257))</f>
        <v>0</v>
      </c>
      <c r="G227" s="0" t="n">
        <f aca="false">IF($A227&lt;$B$5,0,IF($A227&gt;$B$6,0,Fwd_curves!N257))</f>
        <v>0</v>
      </c>
      <c r="H227" s="54" t="n">
        <f aca="false">IF($A227&lt;$B$5,0,IF($A227&gt;$B$6,0,Fwd_curves!M271))</f>
        <v>0</v>
      </c>
      <c r="I227" s="54" t="n">
        <f aca="false">IF($A227&lt;$B$5,0,IF($A227&gt;$B$6,0,Fwd_curves!N271))</f>
        <v>0</v>
      </c>
    </row>
    <row r="228" customFormat="false" ht="12.75" hidden="false" customHeight="false" outlineLevel="0" collapsed="false">
      <c r="A228" s="61" t="n">
        <f aca="false">Fwd_curves!A258</f>
        <v>41883</v>
      </c>
      <c r="B228" s="0" t="n">
        <f aca="false">IF($A228&lt;$B$5,0,IF($A228&gt;$B$6,0,Fwd_curves!H258))</f>
        <v>0</v>
      </c>
      <c r="C228" s="0" t="n">
        <f aca="false">IF($A228&lt;$B$5,0,IF($A228&gt;$B$6,0,Fwd_curves!J258))</f>
        <v>0</v>
      </c>
      <c r="D228" s="0" t="n">
        <f aca="false">IF($A228&lt;$B$5,0,IF($A228&gt;$B$6,0,Fwd_curves!K258))</f>
        <v>0</v>
      </c>
      <c r="E228" s="0" t="n">
        <f aca="false">IF($A228&lt;$B$5,0,IF($A228&gt;$B$6,0,Fwd_curves!L258))</f>
        <v>0</v>
      </c>
      <c r="F228" s="0" t="n">
        <f aca="false">IF($A228&lt;$B$5,0,IF($A228&gt;$B$6,0,Fwd_curves!M258))</f>
        <v>0</v>
      </c>
      <c r="G228" s="0" t="n">
        <f aca="false">IF($A228&lt;$B$5,0,IF($A228&gt;$B$6,0,Fwd_curves!N258))</f>
        <v>0</v>
      </c>
      <c r="H228" s="54" t="n">
        <f aca="false">IF($A228&lt;$B$5,0,IF($A228&gt;$B$6,0,Fwd_curves!M272))</f>
        <v>0</v>
      </c>
      <c r="I228" s="54" t="n">
        <f aca="false">IF($A228&lt;$B$5,0,IF($A228&gt;$B$6,0,Fwd_curves!N272))</f>
        <v>0</v>
      </c>
    </row>
    <row r="229" customFormat="false" ht="12.75" hidden="false" customHeight="false" outlineLevel="0" collapsed="false">
      <c r="A229" s="61" t="n">
        <f aca="false">Fwd_curves!A259</f>
        <v>41913</v>
      </c>
      <c r="B229" s="0" t="n">
        <f aca="false">IF($A229&lt;$B$5,0,IF($A229&gt;$B$6,0,Fwd_curves!H259))</f>
        <v>0</v>
      </c>
      <c r="C229" s="0" t="n">
        <f aca="false">IF($A229&lt;$B$5,0,IF($A229&gt;$B$6,0,Fwd_curves!J259))</f>
        <v>0</v>
      </c>
      <c r="D229" s="0" t="n">
        <f aca="false">IF($A229&lt;$B$5,0,IF($A229&gt;$B$6,0,Fwd_curves!K259))</f>
        <v>0</v>
      </c>
      <c r="E229" s="0" t="n">
        <f aca="false">IF($A229&lt;$B$5,0,IF($A229&gt;$B$6,0,Fwd_curves!L259))</f>
        <v>0</v>
      </c>
      <c r="F229" s="0" t="n">
        <f aca="false">IF($A229&lt;$B$5,0,IF($A229&gt;$B$6,0,Fwd_curves!M259))</f>
        <v>0</v>
      </c>
      <c r="G229" s="0" t="n">
        <f aca="false">IF($A229&lt;$B$5,0,IF($A229&gt;$B$6,0,Fwd_curves!N259))</f>
        <v>0</v>
      </c>
      <c r="H229" s="54" t="n">
        <f aca="false">IF($A229&lt;$B$5,0,IF($A229&gt;$B$6,0,Fwd_curves!M273))</f>
        <v>0</v>
      </c>
      <c r="I229" s="54" t="n">
        <f aca="false">IF($A229&lt;$B$5,0,IF($A229&gt;$B$6,0,Fwd_curves!N273))</f>
        <v>0</v>
      </c>
    </row>
    <row r="230" customFormat="false" ht="12.75" hidden="false" customHeight="false" outlineLevel="0" collapsed="false">
      <c r="A230" s="61" t="n">
        <f aca="false">Fwd_curves!A260</f>
        <v>41944</v>
      </c>
      <c r="B230" s="0" t="n">
        <f aca="false">IF($A230&lt;$B$5,0,IF($A230&gt;$B$6,0,Fwd_curves!H260))</f>
        <v>0</v>
      </c>
      <c r="C230" s="0" t="n">
        <f aca="false">IF($A230&lt;$B$5,0,IF($A230&gt;$B$6,0,Fwd_curves!J260))</f>
        <v>0</v>
      </c>
      <c r="D230" s="0" t="n">
        <f aca="false">IF($A230&lt;$B$5,0,IF($A230&gt;$B$6,0,Fwd_curves!K260))</f>
        <v>0</v>
      </c>
      <c r="E230" s="0" t="n">
        <f aca="false">IF($A230&lt;$B$5,0,IF($A230&gt;$B$6,0,Fwd_curves!L260))</f>
        <v>0</v>
      </c>
      <c r="F230" s="0" t="n">
        <f aca="false">IF($A230&lt;$B$5,0,IF($A230&gt;$B$6,0,Fwd_curves!M260))</f>
        <v>0</v>
      </c>
      <c r="G230" s="0" t="n">
        <f aca="false">IF($A230&lt;$B$5,0,IF($A230&gt;$B$6,0,Fwd_curves!N260))</f>
        <v>0</v>
      </c>
      <c r="H230" s="54" t="n">
        <f aca="false">IF($A230&lt;$B$5,0,IF($A230&gt;$B$6,0,Fwd_curves!M274))</f>
        <v>0</v>
      </c>
      <c r="I230" s="54" t="n">
        <f aca="false">IF($A230&lt;$B$5,0,IF($A230&gt;$B$6,0,Fwd_curves!N274))</f>
        <v>0</v>
      </c>
    </row>
    <row r="231" customFormat="false" ht="12.75" hidden="false" customHeight="false" outlineLevel="0" collapsed="false">
      <c r="A231" s="61" t="n">
        <f aca="false">Fwd_curves!A261</f>
        <v>41974</v>
      </c>
      <c r="B231" s="0" t="n">
        <f aca="false">IF($A231&lt;$B$5,0,IF($A231&gt;$B$6,0,Fwd_curves!H261))</f>
        <v>0</v>
      </c>
      <c r="C231" s="0" t="n">
        <f aca="false">IF($A231&lt;$B$5,0,IF($A231&gt;$B$6,0,Fwd_curves!J261))</f>
        <v>0</v>
      </c>
      <c r="D231" s="0" t="n">
        <f aca="false">IF($A231&lt;$B$5,0,IF($A231&gt;$B$6,0,Fwd_curves!K261))</f>
        <v>0</v>
      </c>
      <c r="E231" s="0" t="n">
        <f aca="false">IF($A231&lt;$B$5,0,IF($A231&gt;$B$6,0,Fwd_curves!L261))</f>
        <v>0</v>
      </c>
      <c r="F231" s="0" t="n">
        <f aca="false">IF($A231&lt;$B$5,0,IF($A231&gt;$B$6,0,Fwd_curves!M261))</f>
        <v>0</v>
      </c>
      <c r="G231" s="0" t="n">
        <f aca="false">IF($A231&lt;$B$5,0,IF($A231&gt;$B$6,0,Fwd_curves!N261))</f>
        <v>0</v>
      </c>
      <c r="H231" s="54" t="n">
        <f aca="false">IF($A231&lt;$B$5,0,IF($A231&gt;$B$6,0,Fwd_curves!M275))</f>
        <v>0</v>
      </c>
      <c r="I231" s="54" t="n">
        <f aca="false">IF($A231&lt;$B$5,0,IF($A231&gt;$B$6,0,Fwd_curves!N275))</f>
        <v>0</v>
      </c>
    </row>
  </sheetData>
  <mergeCells count="1">
    <mergeCell ref="N49:R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5.41"/>
    <col collapsed="false" customWidth="true" hidden="false" outlineLevel="0" max="3" min="3" style="0" width="11.56"/>
    <col collapsed="false" customWidth="true" hidden="false" outlineLevel="0" max="6" min="6" style="0" width="25.99"/>
    <col collapsed="false" customWidth="true" hidden="false" outlineLevel="0" max="7" min="7" style="0" width="17.42"/>
    <col collapsed="false" customWidth="true" hidden="false" outlineLevel="0" max="8" min="8" style="0" width="14.99"/>
    <col collapsed="false" customWidth="true" hidden="false" outlineLevel="0" max="9" min="9" style="0" width="16.28"/>
    <col collapsed="false" customWidth="true" hidden="false" outlineLevel="0" max="11" min="11" style="0" width="12.85"/>
    <col collapsed="false" customWidth="true" hidden="false" outlineLevel="0" max="12" min="12" style="0" width="13.14"/>
    <col collapsed="false" customWidth="true" hidden="false" outlineLevel="0" max="13" min="13" style="0" width="16.28"/>
  </cols>
  <sheetData>
    <row r="2" customFormat="false" ht="15.75" hidden="false" customHeight="false" outlineLevel="0" collapsed="false">
      <c r="A2" s="193" t="s">
        <v>346</v>
      </c>
    </row>
    <row r="3" customFormat="false" ht="12.75" hidden="false" customHeight="false" outlineLevel="0" collapsed="false">
      <c r="A3" s="0" t="s">
        <v>347</v>
      </c>
    </row>
    <row r="4" customFormat="false" ht="15.75" hidden="false" customHeight="false" outlineLevel="0" collapsed="false">
      <c r="A4" s="193" t="s">
        <v>246</v>
      </c>
      <c r="F4" s="193" t="s">
        <v>348</v>
      </c>
    </row>
    <row r="6" customFormat="false" ht="12.75" hidden="false" customHeight="false" outlineLevel="0" collapsed="false">
      <c r="A6" s="0" t="s">
        <v>349</v>
      </c>
      <c r="B6" s="85" t="n">
        <v>25</v>
      </c>
      <c r="F6" s="0" t="s">
        <v>350</v>
      </c>
      <c r="G6" s="54" t="n">
        <f aca="false">B8*B10</f>
        <v>48.2517</v>
      </c>
    </row>
    <row r="7" customFormat="false" ht="12.75" hidden="false" customHeight="false" outlineLevel="0" collapsed="false">
      <c r="A7" s="0" t="s">
        <v>351</v>
      </c>
      <c r="B7" s="138" t="n">
        <f aca="false">SUM(D28:D51)</f>
        <v>18600</v>
      </c>
    </row>
    <row r="8" customFormat="false" ht="15" hidden="false" customHeight="false" outlineLevel="0" collapsed="false">
      <c r="A8" s="206" t="s">
        <v>352</v>
      </c>
      <c r="B8" s="212" t="n">
        <v>9.66</v>
      </c>
      <c r="F8" s="0" t="s">
        <v>353</v>
      </c>
      <c r="G8" s="213" t="n">
        <v>2</v>
      </c>
    </row>
    <row r="9" customFormat="false" ht="15" hidden="false" customHeight="false" outlineLevel="0" collapsed="false">
      <c r="A9" s="206" t="s">
        <v>264</v>
      </c>
      <c r="B9" s="214" t="s">
        <v>354</v>
      </c>
      <c r="C9" s="0" t="s">
        <v>355</v>
      </c>
      <c r="F9" s="0" t="s">
        <v>356</v>
      </c>
      <c r="G9" s="213" t="n">
        <v>24</v>
      </c>
    </row>
    <row r="10" customFormat="false" ht="15" hidden="false" customHeight="false" outlineLevel="0" collapsed="false">
      <c r="A10" s="206" t="s">
        <v>357</v>
      </c>
      <c r="B10" s="215" t="n">
        <v>4.995</v>
      </c>
      <c r="C10" s="206" t="s">
        <v>358</v>
      </c>
      <c r="F10" s="0" t="s">
        <v>359</v>
      </c>
      <c r="G10" s="95" t="n">
        <f aca="false">SUM(L28:L51)</f>
        <v>132.422361641811</v>
      </c>
    </row>
    <row r="11" customFormat="false" ht="15" hidden="false" customHeight="false" outlineLevel="0" collapsed="false">
      <c r="A11" s="206" t="s">
        <v>360</v>
      </c>
      <c r="B11" s="216" t="n">
        <v>48.25</v>
      </c>
      <c r="C11" s="206"/>
    </row>
    <row r="12" customFormat="false" ht="15" hidden="false" customHeight="false" outlineLevel="0" collapsed="false">
      <c r="A12" s="206" t="s">
        <v>361</v>
      </c>
      <c r="B12" s="217" t="n">
        <f aca="false">B11/B10</f>
        <v>9.65965965965966</v>
      </c>
      <c r="C12" s="206"/>
    </row>
    <row r="13" customFormat="false" ht="14.25" hidden="false" customHeight="true" outlineLevel="0" collapsed="false">
      <c r="A13" s="206" t="s">
        <v>362</v>
      </c>
      <c r="B13" s="138" t="n">
        <f aca="false">B8*B7</f>
        <v>179676</v>
      </c>
      <c r="C13" s="206" t="s">
        <v>363</v>
      </c>
    </row>
    <row r="14" customFormat="false" ht="15" hidden="false" customHeight="false" outlineLevel="0" collapsed="false">
      <c r="A14" s="206" t="s">
        <v>68</v>
      </c>
      <c r="B14" s="138" t="n">
        <f aca="false">SUM(E28:E51)</f>
        <v>31</v>
      </c>
      <c r="C14" s="206"/>
    </row>
    <row r="15" customFormat="false" ht="15" hidden="false" customHeight="false" outlineLevel="0" collapsed="false">
      <c r="A15" s="206" t="s">
        <v>364</v>
      </c>
      <c r="B15" s="218" t="n">
        <f aca="false">B13/B14</f>
        <v>5796</v>
      </c>
      <c r="C15" s="206"/>
    </row>
    <row r="17" customFormat="false" ht="12.75" hidden="false" customHeight="false" outlineLevel="0" collapsed="false">
      <c r="A17" s="0" t="s">
        <v>365</v>
      </c>
      <c r="B17" s="219" t="n">
        <f aca="false">1/B8</f>
        <v>0.10351966873706</v>
      </c>
    </row>
    <row r="18" customFormat="false" ht="12.75" hidden="false" customHeight="false" outlineLevel="0" collapsed="false">
      <c r="A18" s="0" t="s">
        <v>366</v>
      </c>
      <c r="B18" s="54" t="n">
        <f aca="false">B17*G9</f>
        <v>2.48447204968944</v>
      </c>
    </row>
    <row r="21" customFormat="false" ht="15" hidden="false" customHeight="false" outlineLevel="0" collapsed="false">
      <c r="A21" s="206" t="s">
        <v>315</v>
      </c>
      <c r="B21" s="220" t="n">
        <v>36800</v>
      </c>
    </row>
    <row r="22" customFormat="false" ht="15" hidden="false" customHeight="false" outlineLevel="0" collapsed="false">
      <c r="A22" s="206" t="s">
        <v>316</v>
      </c>
      <c r="B22" s="220" t="n">
        <v>36800</v>
      </c>
    </row>
    <row r="23" customFormat="false" ht="15" hidden="false" customHeight="false" outlineLevel="0" collapsed="false">
      <c r="A23" s="206" t="s">
        <v>317</v>
      </c>
      <c r="B23" s="56" t="n">
        <f aca="false">COUNTIF(B28:B51,"&gt;0")</f>
        <v>1</v>
      </c>
    </row>
    <row r="25" customFormat="false" ht="12.75" hidden="false" customHeight="false" outlineLevel="0" collapsed="false">
      <c r="G25" s="0" t="s">
        <v>367</v>
      </c>
    </row>
    <row r="26" customFormat="false" ht="12.75" hidden="false" customHeight="false" outlineLevel="0" collapsed="false">
      <c r="G26" s="0" t="s">
        <v>368</v>
      </c>
      <c r="H26" s="0" t="s">
        <v>369</v>
      </c>
      <c r="I26" s="0" t="s">
        <v>370</v>
      </c>
    </row>
    <row r="27" customFormat="false" ht="12.75" hidden="false" customHeight="false" outlineLevel="0" collapsed="false">
      <c r="A27" s="0" t="s">
        <v>86</v>
      </c>
      <c r="B27" s="0" t="s">
        <v>44</v>
      </c>
      <c r="C27" s="0" t="s">
        <v>102</v>
      </c>
      <c r="D27" s="0" t="s">
        <v>114</v>
      </c>
      <c r="E27" s="0" t="s">
        <v>68</v>
      </c>
      <c r="G27" s="0" t="s">
        <v>371</v>
      </c>
      <c r="H27" s="0" t="s">
        <v>372</v>
      </c>
      <c r="I27" s="0" t="s">
        <v>373</v>
      </c>
      <c r="K27" s="0" t="s">
        <v>374</v>
      </c>
      <c r="L27" s="0" t="s">
        <v>375</v>
      </c>
    </row>
    <row r="28" customFormat="false" ht="12.75" hidden="false" customHeight="false" outlineLevel="0" collapsed="false">
      <c r="A28" s="61" t="n">
        <f aca="false">swap_model!A52</f>
        <v>36526</v>
      </c>
      <c r="B28" s="221" t="n">
        <f aca="false">IF($A28&lt;$B$21,0,IF($A28&gt;$B$22,0,Fwd_curves!H96))</f>
        <v>0</v>
      </c>
      <c r="C28" s="0" t="n">
        <f aca="false">IF($A28&lt;$B$21,0,IF($A28&gt;$B$22,0,IF('H-rate_model'!$B$9="P",external_curves!AI15,external_curves!AH15)))</f>
        <v>0</v>
      </c>
      <c r="D28" s="0" t="n">
        <f aca="false">C28*$B$6</f>
        <v>0</v>
      </c>
      <c r="E28" s="0" t="n">
        <f aca="false">IF($A28&lt;$B$21,0,IF($A28&gt;$B$22,0,IF('H-rate_model'!$B$9="P",external_curves!AB15,external_curves!X15)))</f>
        <v>0</v>
      </c>
      <c r="G28" s="95" t="n">
        <f aca="false">D28*(($B$8*$G$8-$G$9))</f>
        <v>-0</v>
      </c>
      <c r="H28" s="95" t="n">
        <f aca="false">($B$15*E28)*($B$10-$G$8)</f>
        <v>0</v>
      </c>
      <c r="I28" s="95" t="n">
        <f aca="false">D28*($G$9-$B$11)</f>
        <v>-0</v>
      </c>
      <c r="J28" s="95"/>
      <c r="K28" s="95" t="n">
        <f aca="false">SUM(G28:I28)</f>
        <v>0</v>
      </c>
      <c r="L28" s="95" t="n">
        <f aca="false">K28*B28</f>
        <v>0</v>
      </c>
    </row>
    <row r="29" customFormat="false" ht="12.75" hidden="false" customHeight="false" outlineLevel="0" collapsed="false">
      <c r="A29" s="61" t="n">
        <f aca="false">swap_model!A53</f>
        <v>36557</v>
      </c>
      <c r="B29" s="221" t="n">
        <f aca="false">IF($A29&lt;$B$21,0,IF($A29&gt;$B$22,0,Fwd_curves!H97))</f>
        <v>0</v>
      </c>
      <c r="C29" s="0" t="n">
        <f aca="false">IF($A29&lt;$B$21,0,IF($A29&gt;$B$22,0,IF('H-rate_model'!$B$9="P",external_curves!AI16,external_curves!AH16)))</f>
        <v>0</v>
      </c>
      <c r="D29" s="0" t="n">
        <f aca="false">C29*$B$6</f>
        <v>0</v>
      </c>
      <c r="E29" s="0" t="n">
        <f aca="false">IF($A29&lt;$B$21,0,IF($A29&gt;$B$22,0,IF('H-rate_model'!$B$9="P",external_curves!AB16,external_curves!X16)))</f>
        <v>0</v>
      </c>
      <c r="G29" s="95" t="n">
        <f aca="false">D29*(($B$8*$G$8-$G$9))</f>
        <v>-0</v>
      </c>
      <c r="H29" s="95" t="n">
        <f aca="false">($B$15*E29)*($B$10-$G$8)</f>
        <v>0</v>
      </c>
      <c r="I29" s="95" t="n">
        <f aca="false">D29*($G$9-$B$11)</f>
        <v>-0</v>
      </c>
      <c r="J29" s="95"/>
      <c r="K29" s="95" t="n">
        <f aca="false">SUM(G29:I29)</f>
        <v>0</v>
      </c>
      <c r="L29" s="95" t="n">
        <f aca="false">K29*B29</f>
        <v>0</v>
      </c>
    </row>
    <row r="30" customFormat="false" ht="12.75" hidden="false" customHeight="false" outlineLevel="0" collapsed="false">
      <c r="A30" s="61" t="n">
        <f aca="false">swap_model!A54</f>
        <v>36586</v>
      </c>
      <c r="B30" s="221" t="n">
        <f aca="false">IF($A30&lt;$B$21,0,IF($A30&gt;$B$22,0,Fwd_curves!H98))</f>
        <v>0</v>
      </c>
      <c r="C30" s="0" t="n">
        <f aca="false">IF($A30&lt;$B$21,0,IF($A30&gt;$B$22,0,IF('H-rate_model'!$B$9="P",#REF!,#REF!)))</f>
        <v>0</v>
      </c>
      <c r="D30" s="0" t="n">
        <f aca="false">C30*$B$6</f>
        <v>0</v>
      </c>
      <c r="E30" s="0" t="n">
        <f aca="false">IF($A30&lt;$B$21,0,IF($A30&gt;$B$22,0,IF('H-rate_model'!$B$9="P",#REF!,#REF!)))</f>
        <v>0</v>
      </c>
      <c r="G30" s="95" t="n">
        <f aca="false">D30*(($B$8*$G$8-$G$9))</f>
        <v>-0</v>
      </c>
      <c r="H30" s="95" t="n">
        <f aca="false">($B$15*E30)*($B$10-$G$8)</f>
        <v>0</v>
      </c>
      <c r="I30" s="95" t="n">
        <f aca="false">D30*($G$9-$B$11)</f>
        <v>-0</v>
      </c>
      <c r="J30" s="95"/>
      <c r="K30" s="95" t="n">
        <f aca="false">SUM(G30:I30)</f>
        <v>0</v>
      </c>
      <c r="L30" s="95" t="n">
        <f aca="false">K30*B30</f>
        <v>0</v>
      </c>
    </row>
    <row r="31" customFormat="false" ht="12.75" hidden="false" customHeight="false" outlineLevel="0" collapsed="false">
      <c r="A31" s="61" t="n">
        <f aca="false">swap_model!A55</f>
        <v>36617</v>
      </c>
      <c r="B31" s="221" t="n">
        <f aca="false">IF($A31&lt;$B$21,0,IF($A31&gt;$B$22,0,Fwd_curves!H99))</f>
        <v>0</v>
      </c>
      <c r="C31" s="0" t="n">
        <f aca="false">IF($A31&lt;$B$21,0,IF($A31&gt;$B$22,0,IF('H-rate_model'!$B$9="P",external_curves!AI17,external_curves!AH17)))</f>
        <v>0</v>
      </c>
      <c r="D31" s="0" t="n">
        <f aca="false">C31*$B$6</f>
        <v>0</v>
      </c>
      <c r="E31" s="0" t="n">
        <f aca="false">IF($A31&lt;$B$21,0,IF($A31&gt;$B$22,0,IF('H-rate_model'!$B$9="P",external_curves!AB17,external_curves!X17)))</f>
        <v>0</v>
      </c>
      <c r="G31" s="95" t="n">
        <f aca="false">D31*(($B$8*$G$8-$G$9))</f>
        <v>-0</v>
      </c>
      <c r="H31" s="95" t="n">
        <f aca="false">($B$15*E31)*($B$10-$G$8)</f>
        <v>0</v>
      </c>
      <c r="I31" s="95" t="n">
        <f aca="false">D31*($G$9-$B$11)</f>
        <v>-0</v>
      </c>
      <c r="J31" s="95"/>
      <c r="K31" s="95" t="n">
        <f aca="false">SUM(G31:I31)</f>
        <v>0</v>
      </c>
      <c r="L31" s="95" t="n">
        <f aca="false">K31*B31</f>
        <v>0</v>
      </c>
    </row>
    <row r="32" customFormat="false" ht="12.75" hidden="false" customHeight="false" outlineLevel="0" collapsed="false">
      <c r="A32" s="61" t="n">
        <f aca="false">swap_model!A56</f>
        <v>36647</v>
      </c>
      <c r="B32" s="221" t="n">
        <f aca="false">IF($A32&lt;$B$21,0,IF($A32&gt;$B$22,0,Fwd_curves!H100))</f>
        <v>0</v>
      </c>
      <c r="C32" s="0" t="n">
        <f aca="false">IF($A32&lt;$B$21,0,IF($A32&gt;$B$22,0,IF('H-rate_model'!$B$9="P",external_curves!AI18,external_curves!AH18)))</f>
        <v>0</v>
      </c>
      <c r="D32" s="0" t="n">
        <f aca="false">C32*$B$6</f>
        <v>0</v>
      </c>
      <c r="E32" s="0" t="n">
        <f aca="false">IF($A32&lt;$B$21,0,IF($A32&gt;$B$22,0,IF('H-rate_model'!$B$9="P",external_curves!AB18,external_curves!X18)))</f>
        <v>0</v>
      </c>
      <c r="G32" s="95" t="n">
        <f aca="false">D32*(($B$8*$G$8-$G$9))</f>
        <v>-0</v>
      </c>
      <c r="H32" s="95" t="n">
        <f aca="false">($B$15*E32)*($B$10-$G$8)</f>
        <v>0</v>
      </c>
      <c r="I32" s="95" t="n">
        <f aca="false">D32*($G$9-$B$11)</f>
        <v>-0</v>
      </c>
      <c r="J32" s="95"/>
      <c r="K32" s="95" t="n">
        <f aca="false">SUM(G32:I32)</f>
        <v>0</v>
      </c>
      <c r="L32" s="95" t="n">
        <f aca="false">K32*B32</f>
        <v>0</v>
      </c>
    </row>
    <row r="33" customFormat="false" ht="12.75" hidden="false" customHeight="false" outlineLevel="0" collapsed="false">
      <c r="A33" s="61" t="n">
        <f aca="false">swap_model!A57</f>
        <v>36678</v>
      </c>
      <c r="B33" s="221" t="n">
        <f aca="false">IF($A33&lt;$B$21,0,IF($A33&gt;$B$22,0,Fwd_curves!H101))</f>
        <v>0</v>
      </c>
      <c r="C33" s="0" t="n">
        <f aca="false">IF($A33&lt;$B$21,0,IF($A33&gt;$B$22,0,IF('H-rate_model'!$B$9="P",external_curves!AI17,external_curves!AH17)))</f>
        <v>0</v>
      </c>
      <c r="D33" s="0" t="n">
        <f aca="false">C33*$B$6</f>
        <v>0</v>
      </c>
      <c r="E33" s="0" t="n">
        <f aca="false">IF($A33&lt;$B$21,0,IF($A33&gt;$B$22,0,IF('H-rate_model'!$B$9="P",external_curves!AB17,external_curves!X17)))</f>
        <v>0</v>
      </c>
      <c r="G33" s="95" t="n">
        <f aca="false">D33*(($B$8*$G$8-$G$9))</f>
        <v>-0</v>
      </c>
      <c r="H33" s="95" t="n">
        <f aca="false">($B$15*E33)*($B$10-$G$8)</f>
        <v>0</v>
      </c>
      <c r="I33" s="95" t="n">
        <f aca="false">D33*($G$9-$B$11)</f>
        <v>-0</v>
      </c>
      <c r="J33" s="95"/>
      <c r="K33" s="95" t="n">
        <f aca="false">SUM(G33:I33)</f>
        <v>0</v>
      </c>
      <c r="L33" s="95" t="n">
        <f aca="false">K33*B33</f>
        <v>0</v>
      </c>
    </row>
    <row r="34" customFormat="false" ht="12.75" hidden="false" customHeight="false" outlineLevel="0" collapsed="false">
      <c r="A34" s="61" t="n">
        <f aca="false">swap_model!A58</f>
        <v>36708</v>
      </c>
      <c r="B34" s="221" t="n">
        <f aca="false">IF($A34&lt;$B$21,0,IF($A34&gt;$B$22,0,Fwd_curves!H102))</f>
        <v>0</v>
      </c>
      <c r="C34" s="0" t="n">
        <f aca="false">IF($A34&lt;$B$21,0,IF($A34&gt;$B$22,0,IF('H-rate_model'!$B$9="P",external_curves!AI18,external_curves!AH18)))</f>
        <v>0</v>
      </c>
      <c r="D34" s="0" t="n">
        <f aca="false">C34*$B$6</f>
        <v>0</v>
      </c>
      <c r="E34" s="0" t="n">
        <f aca="false">IF($A34&lt;$B$21,0,IF($A34&gt;$B$22,0,IF('H-rate_model'!$B$9="P",external_curves!AB20,external_curves!X20)))</f>
        <v>0</v>
      </c>
      <c r="G34" s="95" t="n">
        <f aca="false">D34*(($B$8*$G$8-$G$9))</f>
        <v>-0</v>
      </c>
      <c r="H34" s="95" t="n">
        <f aca="false">($B$15*E34)*($B$10-$G$8)</f>
        <v>0</v>
      </c>
      <c r="I34" s="95" t="n">
        <f aca="false">D34*($G$9-$B$11)</f>
        <v>-0</v>
      </c>
      <c r="J34" s="95"/>
      <c r="K34" s="95" t="n">
        <f aca="false">SUM(G34:I34)</f>
        <v>0</v>
      </c>
      <c r="L34" s="95" t="n">
        <f aca="false">K34*B34</f>
        <v>0</v>
      </c>
    </row>
    <row r="35" customFormat="false" ht="12.75" hidden="false" customHeight="false" outlineLevel="0" collapsed="false">
      <c r="A35" s="61" t="n">
        <f aca="false">swap_model!A59</f>
        <v>36739</v>
      </c>
      <c r="B35" s="221" t="n">
        <f aca="false">IF($A35&lt;$B$21,0,IF($A35&gt;$B$22,0,Fwd_curves!H103))</f>
        <v>0</v>
      </c>
      <c r="C35" s="0" t="n">
        <f aca="false">IF($A35&lt;$B$21,0,IF($A35&gt;$B$22,0,IF('H-rate_model'!$B$9="P",external_curves!AI19,external_curves!AH19)))</f>
        <v>0</v>
      </c>
      <c r="D35" s="0" t="n">
        <f aca="false">C35*$B$6</f>
        <v>0</v>
      </c>
      <c r="E35" s="0" t="n">
        <f aca="false">IF($A35&lt;$B$21,0,IF($A35&gt;$B$22,0,IF('H-rate_model'!$B$9="P",external_curves!AB21,external_curves!X21)))</f>
        <v>0</v>
      </c>
      <c r="G35" s="95" t="n">
        <f aca="false">D35*(($B$8*$G$8-$G$9))</f>
        <v>-0</v>
      </c>
      <c r="H35" s="95" t="n">
        <f aca="false">($B$15*E35)*($B$10-$G$8)</f>
        <v>0</v>
      </c>
      <c r="I35" s="95" t="n">
        <f aca="false">D35*($G$9-$B$11)</f>
        <v>-0</v>
      </c>
      <c r="J35" s="95"/>
      <c r="K35" s="95" t="n">
        <f aca="false">SUM(G35:I35)</f>
        <v>0</v>
      </c>
      <c r="L35" s="95" t="n">
        <f aca="false">K35*B35</f>
        <v>0</v>
      </c>
    </row>
    <row r="36" customFormat="false" ht="12.75" hidden="false" customHeight="false" outlineLevel="0" collapsed="false">
      <c r="A36" s="61" t="n">
        <f aca="false">swap_model!A60</f>
        <v>36770</v>
      </c>
      <c r="B36" s="221" t="n">
        <f aca="false">IF($A36&lt;$B$21,0,IF($A36&gt;$B$22,0,Fwd_curves!H104))</f>
        <v>0</v>
      </c>
      <c r="C36" s="0" t="n">
        <f aca="false">IF($A36&lt;$B$21,0,IF($A36&gt;$B$22,0,IF('H-rate_model'!$B$9="P",external_curves!AI20,external_curves!AH20)))</f>
        <v>0</v>
      </c>
      <c r="D36" s="0" t="n">
        <f aca="false">C36*$B$6</f>
        <v>0</v>
      </c>
      <c r="E36" s="0" t="n">
        <f aca="false">IF($A36&lt;$B$21,0,IF($A36&gt;$B$22,0,IF('H-rate_model'!$B$9="P",external_curves!AB22,external_curves!X22)))</f>
        <v>0</v>
      </c>
      <c r="G36" s="95" t="n">
        <f aca="false">D36*(($B$8*$G$8-$G$9))</f>
        <v>-0</v>
      </c>
      <c r="H36" s="95" t="n">
        <f aca="false">($B$15*E36)*($B$10-$G$8)</f>
        <v>0</v>
      </c>
      <c r="I36" s="95" t="n">
        <f aca="false">D36*($G$9-$B$11)</f>
        <v>-0</v>
      </c>
      <c r="J36" s="95"/>
      <c r="K36" s="95" t="n">
        <f aca="false">SUM(G36:I36)</f>
        <v>0</v>
      </c>
      <c r="L36" s="95" t="n">
        <f aca="false">K36*B36</f>
        <v>0</v>
      </c>
    </row>
    <row r="37" customFormat="false" ht="12.75" hidden="false" customHeight="false" outlineLevel="0" collapsed="false">
      <c r="A37" s="61" t="n">
        <f aca="false">swap_model!A61</f>
        <v>36800</v>
      </c>
      <c r="B37" s="221" t="n">
        <f aca="false">IF($A37&lt;$B$21,0,IF($A37&gt;$B$22,0,Fwd_curves!H105))</f>
        <v>4.18793047570622</v>
      </c>
      <c r="C37" s="0" t="n">
        <f aca="false">IF($A37&lt;$B$21,0,IF($A37&gt;$B$22,0,IF('H-rate_model'!$B$9="P",external_curves!AI21,external_curves!AH21)))</f>
        <v>744</v>
      </c>
      <c r="D37" s="0" t="n">
        <f aca="false">C37*$B$6</f>
        <v>18600</v>
      </c>
      <c r="E37" s="0" t="n">
        <f aca="false">IF($A37&lt;$B$21,0,IF($A37&gt;$B$22,0,IF('H-rate_model'!$B$9="P",external_curves!AB23,external_curves!X23)))</f>
        <v>31</v>
      </c>
      <c r="G37" s="95" t="n">
        <f aca="false">D37*(($B$8*$G$8-$G$9))</f>
        <v>-87048</v>
      </c>
      <c r="H37" s="95" t="n">
        <f aca="false">($B$15*E37)*($B$10-$G$8)</f>
        <v>538129.62</v>
      </c>
      <c r="I37" s="95" t="n">
        <f aca="false">D37*($G$9-$B$11)</f>
        <v>-451050</v>
      </c>
      <c r="J37" s="95"/>
      <c r="K37" s="95" t="n">
        <f aca="false">SUM(G37:I37)</f>
        <v>31.6199999999953</v>
      </c>
      <c r="L37" s="95" t="n">
        <f aca="false">K37*B37</f>
        <v>132.422361641811</v>
      </c>
    </row>
    <row r="38" customFormat="false" ht="12.75" hidden="false" customHeight="false" outlineLevel="0" collapsed="false">
      <c r="A38" s="61" t="n">
        <f aca="false">swap_model!A62</f>
        <v>36831</v>
      </c>
      <c r="B38" s="221" t="n">
        <f aca="false">IF($A38&lt;$B$21,0,IF($A38&gt;$B$22,0,Fwd_curves!H106))</f>
        <v>0</v>
      </c>
      <c r="C38" s="0" t="n">
        <f aca="false">IF($A38&lt;$B$21,0,IF($A38&gt;$B$22,0,IF('H-rate_model'!$B$9="P",external_curves!AI22,external_curves!AH22)))</f>
        <v>0</v>
      </c>
      <c r="D38" s="0" t="n">
        <f aca="false">C38*$B$6</f>
        <v>0</v>
      </c>
      <c r="E38" s="0" t="n">
        <f aca="false">IF($A38&lt;$B$21,0,IF($A38&gt;$B$22,0,IF('H-rate_model'!$B$9="P",external_curves!AB24,external_curves!X24)))</f>
        <v>0</v>
      </c>
      <c r="G38" s="95" t="n">
        <f aca="false">D38*(($B$8*$G$8-$G$9))</f>
        <v>-0</v>
      </c>
      <c r="H38" s="95" t="n">
        <f aca="false">($B$15*E38)*($B$10-$G$8)</f>
        <v>0</v>
      </c>
      <c r="I38" s="95" t="n">
        <f aca="false">D38*($G$9-$B$11)</f>
        <v>-0</v>
      </c>
      <c r="J38" s="95"/>
      <c r="K38" s="95" t="n">
        <f aca="false">SUM(G38:I38)</f>
        <v>0</v>
      </c>
      <c r="L38" s="95" t="n">
        <f aca="false">K38*B38</f>
        <v>0</v>
      </c>
    </row>
    <row r="39" customFormat="false" ht="12.75" hidden="false" customHeight="false" outlineLevel="0" collapsed="false">
      <c r="A39" s="61" t="n">
        <f aca="false">swap_model!A63</f>
        <v>36861</v>
      </c>
      <c r="B39" s="221" t="n">
        <f aca="false">IF($A39&lt;$B$21,0,IF($A39&gt;$B$22,0,Fwd_curves!H107))</f>
        <v>0</v>
      </c>
      <c r="C39" s="0" t="n">
        <f aca="false">IF($A39&lt;$B$21,0,IF($A39&gt;$B$22,0,IF('H-rate_model'!$B$9="P",external_curves!AI23,external_curves!AH23)))</f>
        <v>0</v>
      </c>
      <c r="D39" s="0" t="n">
        <f aca="false">C39*$B$6</f>
        <v>0</v>
      </c>
      <c r="E39" s="0" t="n">
        <f aca="false">IF($A39&lt;$B$21,0,IF($A39&gt;$B$22,0,IF('H-rate_model'!$B$9="P",external_curves!AB25,external_curves!X25)))</f>
        <v>0</v>
      </c>
      <c r="G39" s="95" t="n">
        <f aca="false">D39*(($B$8*$G$8-$G$9))</f>
        <v>-0</v>
      </c>
      <c r="H39" s="95" t="n">
        <f aca="false">($B$15*E39)*($B$10-$G$8)</f>
        <v>0</v>
      </c>
      <c r="I39" s="95" t="n">
        <f aca="false">D39*($G$9-$B$11)</f>
        <v>-0</v>
      </c>
      <c r="J39" s="95"/>
      <c r="K39" s="95" t="n">
        <f aca="false">SUM(G39:I39)</f>
        <v>0</v>
      </c>
      <c r="L39" s="95" t="n">
        <f aca="false">K39*B39</f>
        <v>0</v>
      </c>
    </row>
    <row r="40" customFormat="false" ht="12.75" hidden="false" customHeight="false" outlineLevel="0" collapsed="false">
      <c r="A40" s="61" t="n">
        <f aca="false">swap_model!A64</f>
        <v>36892</v>
      </c>
      <c r="B40" s="221" t="n">
        <f aca="false">IF($A40&lt;$B$21,0,IF($A40&gt;$B$22,0,Fwd_curves!H108))</f>
        <v>0</v>
      </c>
      <c r="C40" s="0" t="n">
        <f aca="false">IF($A40&lt;$B$21,0,IF($A40&gt;$B$22,0,IF('H-rate_model'!$B$9="P",external_curves!AI24,external_curves!AH24)))</f>
        <v>0</v>
      </c>
      <c r="D40" s="0" t="n">
        <f aca="false">C40*$B$6</f>
        <v>0</v>
      </c>
      <c r="E40" s="0" t="n">
        <f aca="false">IF($A40&lt;$B$21,0,IF($A40&gt;$B$22,0,IF('H-rate_model'!$B$9="P",external_curves!AB26,external_curves!X26)))</f>
        <v>0</v>
      </c>
      <c r="G40" s="95" t="n">
        <f aca="false">D40*(($B$8*$G$8-$G$9))</f>
        <v>-0</v>
      </c>
      <c r="H40" s="95" t="n">
        <f aca="false">($B$15*E40)*($B$10-$G$8)</f>
        <v>0</v>
      </c>
      <c r="I40" s="95" t="n">
        <f aca="false">D40*($G$9-$B$11)</f>
        <v>-0</v>
      </c>
      <c r="J40" s="95"/>
      <c r="K40" s="95" t="n">
        <f aca="false">SUM(G40:I40)</f>
        <v>0</v>
      </c>
      <c r="L40" s="95" t="n">
        <f aca="false">K40*B40</f>
        <v>0</v>
      </c>
    </row>
    <row r="41" customFormat="false" ht="12.75" hidden="false" customHeight="false" outlineLevel="0" collapsed="false">
      <c r="A41" s="61" t="n">
        <f aca="false">swap_model!A65</f>
        <v>36923</v>
      </c>
      <c r="B41" s="221" t="n">
        <f aca="false">IF($A41&lt;$B$21,0,IF($A41&gt;$B$22,0,Fwd_curves!H109))</f>
        <v>0</v>
      </c>
      <c r="C41" s="0" t="n">
        <f aca="false">IF($A41&lt;$B$21,0,IF($A41&gt;$B$22,0,IF('H-rate_model'!$B$9="P",external_curves!AI25,external_curves!AH25)))</f>
        <v>0</v>
      </c>
      <c r="D41" s="0" t="n">
        <f aca="false">C41*$B$6</f>
        <v>0</v>
      </c>
      <c r="E41" s="0" t="n">
        <f aca="false">IF($A41&lt;$B$21,0,IF($A41&gt;$B$22,0,IF('H-rate_model'!$B$9="P",external_curves!AB27,external_curves!X27)))</f>
        <v>0</v>
      </c>
      <c r="G41" s="95" t="n">
        <f aca="false">D41*(($B$8*$G$8-$G$9))</f>
        <v>-0</v>
      </c>
      <c r="H41" s="95" t="n">
        <f aca="false">($B$15*E41)*($B$10-$G$8)</f>
        <v>0</v>
      </c>
      <c r="I41" s="95" t="n">
        <f aca="false">D41*($G$9-$B$11)</f>
        <v>-0</v>
      </c>
      <c r="J41" s="95"/>
      <c r="K41" s="95" t="n">
        <f aca="false">SUM(G41:I41)</f>
        <v>0</v>
      </c>
      <c r="L41" s="95" t="n">
        <f aca="false">K41*B41</f>
        <v>0</v>
      </c>
    </row>
    <row r="42" customFormat="false" ht="12.75" hidden="false" customHeight="false" outlineLevel="0" collapsed="false">
      <c r="A42" s="61" t="n">
        <f aca="false">swap_model!A66</f>
        <v>36951</v>
      </c>
      <c r="B42" s="221" t="n">
        <f aca="false">IF($A42&lt;$B$21,0,IF($A42&gt;$B$22,0,Fwd_curves!H110))</f>
        <v>0</v>
      </c>
      <c r="C42" s="0" t="n">
        <f aca="false">IF($A42&lt;$B$21,0,IF($A42&gt;$B$22,0,IF('H-rate_model'!$B$9="P",external_curves!AI26,external_curves!AH26)))</f>
        <v>0</v>
      </c>
      <c r="D42" s="0" t="n">
        <f aca="false">C42*$B$6</f>
        <v>0</v>
      </c>
      <c r="E42" s="0" t="n">
        <f aca="false">IF($A42&lt;$B$21,0,IF($A42&gt;$B$22,0,IF('H-rate_model'!$B$9="P",external_curves!AB28,external_curves!X28)))</f>
        <v>0</v>
      </c>
      <c r="G42" s="95" t="n">
        <f aca="false">D42*(($B$8*$G$8-$G$9))</f>
        <v>-0</v>
      </c>
      <c r="H42" s="95" t="n">
        <f aca="false">($B$15*E42)*($B$10-$G$8)</f>
        <v>0</v>
      </c>
      <c r="I42" s="95" t="n">
        <f aca="false">D42*($G$9-$B$11)</f>
        <v>-0</v>
      </c>
      <c r="J42" s="95"/>
      <c r="K42" s="95" t="n">
        <f aca="false">SUM(G42:I42)</f>
        <v>0</v>
      </c>
      <c r="L42" s="95" t="n">
        <f aca="false">K42*B42</f>
        <v>0</v>
      </c>
    </row>
    <row r="43" customFormat="false" ht="12.75" hidden="false" customHeight="false" outlineLevel="0" collapsed="false">
      <c r="A43" s="61" t="n">
        <f aca="false">swap_model!A67</f>
        <v>36982</v>
      </c>
      <c r="B43" s="221" t="n">
        <f aca="false">IF($A43&lt;$B$21,0,IF($A43&gt;$B$22,0,Fwd_curves!H111))</f>
        <v>0</v>
      </c>
      <c r="C43" s="0" t="n">
        <f aca="false">IF($A43&lt;$B$21,0,IF($A43&gt;$B$22,0,IF('H-rate_model'!$B$9="P",external_curves!AI27,external_curves!AH27)))</f>
        <v>0</v>
      </c>
      <c r="D43" s="0" t="n">
        <f aca="false">C43*$B$6</f>
        <v>0</v>
      </c>
      <c r="E43" s="0" t="n">
        <f aca="false">IF($A43&lt;$B$21,0,IF($A43&gt;$B$22,0,IF('H-rate_model'!$B$9="P",external_curves!AB29,external_curves!X29)))</f>
        <v>0</v>
      </c>
      <c r="G43" s="95" t="n">
        <f aca="false">D43*(($B$8*$G$8-$G$9))</f>
        <v>-0</v>
      </c>
      <c r="H43" s="95" t="n">
        <f aca="false">($B$15*E43)*($B$10-$G$8)</f>
        <v>0</v>
      </c>
      <c r="I43" s="95" t="n">
        <f aca="false">D43*($G$9-$B$11)</f>
        <v>-0</v>
      </c>
      <c r="J43" s="95"/>
      <c r="K43" s="95" t="n">
        <f aca="false">SUM(G43:I43)</f>
        <v>0</v>
      </c>
      <c r="L43" s="95" t="n">
        <f aca="false">K43*B43</f>
        <v>0</v>
      </c>
    </row>
    <row r="44" customFormat="false" ht="12.75" hidden="false" customHeight="false" outlineLevel="0" collapsed="false">
      <c r="A44" s="61" t="n">
        <f aca="false">swap_model!A68</f>
        <v>37012</v>
      </c>
      <c r="B44" s="221" t="n">
        <f aca="false">IF($A44&lt;$B$21,0,IF($A44&gt;$B$22,0,Fwd_curves!H112))</f>
        <v>0</v>
      </c>
      <c r="C44" s="0" t="n">
        <f aca="false">IF($A44&lt;$B$21,0,IF($A44&gt;$B$22,0,IF('H-rate_model'!$B$9="P",external_curves!AI28,external_curves!AH28)))</f>
        <v>0</v>
      </c>
      <c r="D44" s="0" t="n">
        <f aca="false">C44*$B$6</f>
        <v>0</v>
      </c>
      <c r="E44" s="0" t="n">
        <f aca="false">IF($A44&lt;$B$21,0,IF($A44&gt;$B$22,0,IF('H-rate_model'!$B$9="P",external_curves!AB30,external_curves!X30)))</f>
        <v>0</v>
      </c>
      <c r="G44" s="95" t="n">
        <f aca="false">D44*(($B$8*$G$8-$G$9))</f>
        <v>-0</v>
      </c>
      <c r="H44" s="95" t="n">
        <f aca="false">($B$15*E44)*($B$10-$G$8)</f>
        <v>0</v>
      </c>
      <c r="I44" s="95" t="n">
        <f aca="false">D44*($G$9-$B$11)</f>
        <v>-0</v>
      </c>
      <c r="J44" s="95"/>
      <c r="K44" s="95" t="n">
        <f aca="false">SUM(G44:I44)</f>
        <v>0</v>
      </c>
      <c r="L44" s="95" t="n">
        <f aca="false">K44*B44</f>
        <v>0</v>
      </c>
    </row>
    <row r="45" customFormat="false" ht="12.75" hidden="false" customHeight="false" outlineLevel="0" collapsed="false">
      <c r="A45" s="61" t="n">
        <f aca="false">swap_model!A69</f>
        <v>37043</v>
      </c>
      <c r="B45" s="221" t="n">
        <f aca="false">IF($A45&lt;$B$21,0,IF($A45&gt;$B$22,0,Fwd_curves!H113))</f>
        <v>0</v>
      </c>
      <c r="C45" s="0" t="n">
        <f aca="false">IF($A45&lt;$B$21,0,IF($A45&gt;$B$22,0,IF('H-rate_model'!$B$9="P",external_curves!AI29,external_curves!AH29)))</f>
        <v>0</v>
      </c>
      <c r="D45" s="0" t="n">
        <f aca="false">C45*$B$6</f>
        <v>0</v>
      </c>
      <c r="E45" s="0" t="n">
        <f aca="false">IF($A45&lt;$B$21,0,IF($A45&gt;$B$22,0,IF('H-rate_model'!$B$9="P",external_curves!AB31,external_curves!X31)))</f>
        <v>0</v>
      </c>
      <c r="G45" s="95" t="n">
        <f aca="false">D45*(($B$8*$G$8-$G$9))</f>
        <v>-0</v>
      </c>
      <c r="H45" s="95" t="n">
        <f aca="false">($B$15*E45)*($B$10-$G$8)</f>
        <v>0</v>
      </c>
      <c r="I45" s="95" t="n">
        <f aca="false">D45*($G$9-$B$11)</f>
        <v>-0</v>
      </c>
      <c r="J45" s="95"/>
      <c r="K45" s="95" t="n">
        <f aca="false">SUM(G45:I45)</f>
        <v>0</v>
      </c>
      <c r="L45" s="95" t="n">
        <f aca="false">K45*B45</f>
        <v>0</v>
      </c>
    </row>
    <row r="46" customFormat="false" ht="12.75" hidden="false" customHeight="false" outlineLevel="0" collapsed="false">
      <c r="A46" s="61" t="n">
        <f aca="false">swap_model!A70</f>
        <v>37073</v>
      </c>
      <c r="B46" s="221" t="n">
        <f aca="false">IF($A46&lt;$B$21,0,IF($A46&gt;$B$22,0,Fwd_curves!H114))</f>
        <v>0</v>
      </c>
      <c r="C46" s="0" t="n">
        <f aca="false">IF($A46&lt;$B$21,0,IF($A46&gt;$B$22,0,IF('H-rate_model'!$B$9="P",external_curves!AI30,external_curves!AH30)))</f>
        <v>0</v>
      </c>
      <c r="D46" s="0" t="n">
        <f aca="false">C46*$B$6</f>
        <v>0</v>
      </c>
      <c r="E46" s="0" t="n">
        <f aca="false">IF($A46&lt;$B$21,0,IF($A46&gt;$B$22,0,IF('H-rate_model'!$B$9="P",external_curves!AB32,external_curves!X32)))</f>
        <v>0</v>
      </c>
      <c r="G46" s="95" t="n">
        <f aca="false">D46*(($B$8*$G$8-$G$9))</f>
        <v>-0</v>
      </c>
      <c r="H46" s="95" t="n">
        <f aca="false">($B$15*E46)*($B$10-$G$8)</f>
        <v>0</v>
      </c>
      <c r="I46" s="95" t="n">
        <f aca="false">D46*($G$9-$B$11)</f>
        <v>-0</v>
      </c>
      <c r="J46" s="95"/>
      <c r="K46" s="95" t="n">
        <f aca="false">SUM(G46:I46)</f>
        <v>0</v>
      </c>
      <c r="L46" s="95" t="n">
        <f aca="false">K46*B46</f>
        <v>0</v>
      </c>
    </row>
    <row r="47" customFormat="false" ht="12.75" hidden="false" customHeight="false" outlineLevel="0" collapsed="false">
      <c r="A47" s="61" t="n">
        <f aca="false">swap_model!A71</f>
        <v>37104</v>
      </c>
      <c r="B47" s="221" t="n">
        <f aca="false">IF($A47&lt;$B$21,0,IF($A47&gt;$B$22,0,Fwd_curves!H115))</f>
        <v>0</v>
      </c>
      <c r="C47" s="0" t="n">
        <f aca="false">IF($A47&lt;$B$21,0,IF($A47&gt;$B$22,0,IF('H-rate_model'!$B$9="P",external_curves!AI31,external_curves!AH31)))</f>
        <v>0</v>
      </c>
      <c r="D47" s="0" t="n">
        <f aca="false">C47*$B$6</f>
        <v>0</v>
      </c>
      <c r="E47" s="0" t="n">
        <f aca="false">IF($A47&lt;$B$21,0,IF($A47&gt;$B$22,0,IF('H-rate_model'!$B$9="P",external_curves!AB33,external_curves!X33)))</f>
        <v>0</v>
      </c>
      <c r="G47" s="95" t="n">
        <f aca="false">D47*(($B$8*$G$8-$G$9))</f>
        <v>-0</v>
      </c>
      <c r="H47" s="95" t="n">
        <f aca="false">($B$15*E47)*($B$10-$G$8)</f>
        <v>0</v>
      </c>
      <c r="I47" s="95" t="n">
        <f aca="false">D47*($G$9-$B$11)</f>
        <v>-0</v>
      </c>
      <c r="J47" s="95"/>
      <c r="K47" s="95" t="n">
        <f aca="false">SUM(G47:I47)</f>
        <v>0</v>
      </c>
      <c r="L47" s="95" t="n">
        <f aca="false">K47*B47</f>
        <v>0</v>
      </c>
    </row>
    <row r="48" customFormat="false" ht="12.75" hidden="false" customHeight="false" outlineLevel="0" collapsed="false">
      <c r="A48" s="61" t="n">
        <f aca="false">swap_model!A72</f>
        <v>37135</v>
      </c>
      <c r="B48" s="221" t="n">
        <f aca="false">IF($A48&lt;$B$21,0,IF($A48&gt;$B$22,0,Fwd_curves!H116))</f>
        <v>0</v>
      </c>
      <c r="C48" s="0" t="n">
        <f aca="false">IF($A48&lt;$B$21,0,IF($A48&gt;$B$22,0,IF('H-rate_model'!$B$9="P",external_curves!AI32,external_curves!AH32)))</f>
        <v>0</v>
      </c>
      <c r="D48" s="0" t="n">
        <f aca="false">C48*$B$6</f>
        <v>0</v>
      </c>
      <c r="E48" s="0" t="n">
        <f aca="false">IF($A48&lt;$B$21,0,IF($A48&gt;$B$22,0,IF('H-rate_model'!$B$9="P",external_curves!AB34,external_curves!X34)))</f>
        <v>0</v>
      </c>
      <c r="G48" s="95" t="n">
        <f aca="false">D48*(($B$8*$G$8-$G$9))</f>
        <v>-0</v>
      </c>
      <c r="H48" s="95" t="n">
        <f aca="false">($B$15*E48)*($B$10-$G$8)</f>
        <v>0</v>
      </c>
      <c r="I48" s="95" t="n">
        <f aca="false">D48*($G$9-$B$11)</f>
        <v>-0</v>
      </c>
      <c r="J48" s="95"/>
      <c r="K48" s="95" t="n">
        <f aca="false">SUM(G48:I48)</f>
        <v>0</v>
      </c>
      <c r="L48" s="95" t="n">
        <f aca="false">K48*B48</f>
        <v>0</v>
      </c>
    </row>
    <row r="49" customFormat="false" ht="12.75" hidden="false" customHeight="false" outlineLevel="0" collapsed="false">
      <c r="A49" s="61" t="n">
        <f aca="false">swap_model!A73</f>
        <v>37165</v>
      </c>
      <c r="B49" s="221" t="n">
        <f aca="false">IF($A49&lt;$B$21,0,IF($A49&gt;$B$22,0,Fwd_curves!H117))</f>
        <v>0</v>
      </c>
      <c r="C49" s="0" t="n">
        <f aca="false">IF($A49&lt;$B$21,0,IF($A49&gt;$B$22,0,IF('H-rate_model'!$B$9="P",external_curves!AI33,external_curves!AH33)))</f>
        <v>0</v>
      </c>
      <c r="D49" s="0" t="n">
        <f aca="false">C49*$B$6</f>
        <v>0</v>
      </c>
      <c r="E49" s="0" t="n">
        <f aca="false">IF($A49&lt;$B$21,0,IF($A49&gt;$B$22,0,IF('H-rate_model'!$B$9="P",external_curves!AB35,external_curves!X35)))</f>
        <v>0</v>
      </c>
      <c r="G49" s="95" t="n">
        <f aca="false">D49*(($B$8*$G$8-$G$9))</f>
        <v>-0</v>
      </c>
      <c r="H49" s="95" t="n">
        <f aca="false">($B$15*E49)*($B$10-$G$8)</f>
        <v>0</v>
      </c>
      <c r="I49" s="95" t="n">
        <f aca="false">D49*($G$9-$B$11)</f>
        <v>-0</v>
      </c>
      <c r="J49" s="95"/>
      <c r="K49" s="95" t="n">
        <f aca="false">SUM(G49:I49)</f>
        <v>0</v>
      </c>
      <c r="L49" s="95" t="n">
        <f aca="false">K49*B49</f>
        <v>0</v>
      </c>
    </row>
    <row r="50" customFormat="false" ht="12.75" hidden="false" customHeight="false" outlineLevel="0" collapsed="false">
      <c r="A50" s="61" t="n">
        <f aca="false">swap_model!A74</f>
        <v>37196</v>
      </c>
      <c r="B50" s="221" t="n">
        <f aca="false">IF($A50&lt;$B$21,0,IF($A50&gt;$B$22,0,Fwd_curves!H118))</f>
        <v>0</v>
      </c>
      <c r="C50" s="0" t="n">
        <f aca="false">IF($A50&lt;$B$21,0,IF($A50&gt;$B$22,0,IF('H-rate_model'!$B$9="P",external_curves!AI34,external_curves!AH34)))</f>
        <v>0</v>
      </c>
      <c r="D50" s="0" t="n">
        <f aca="false">C50*$B$6</f>
        <v>0</v>
      </c>
      <c r="E50" s="0" t="n">
        <f aca="false">IF($A50&lt;$B$21,0,IF($A50&gt;$B$22,0,IF('H-rate_model'!$B$9="P",external_curves!AB36,external_curves!X36)))</f>
        <v>0</v>
      </c>
      <c r="G50" s="95" t="n">
        <f aca="false">D50*(($B$8*$G$8-$G$9))</f>
        <v>-0</v>
      </c>
      <c r="H50" s="95" t="n">
        <f aca="false">($B$15*E50)*($B$10-$G$8)</f>
        <v>0</v>
      </c>
      <c r="I50" s="95" t="n">
        <f aca="false">D50*($G$9-$B$11)</f>
        <v>-0</v>
      </c>
      <c r="J50" s="95"/>
      <c r="K50" s="95" t="n">
        <f aca="false">SUM(G50:I50)</f>
        <v>0</v>
      </c>
      <c r="L50" s="95" t="n">
        <f aca="false">K50*B50</f>
        <v>0</v>
      </c>
    </row>
    <row r="51" customFormat="false" ht="12.75" hidden="false" customHeight="false" outlineLevel="0" collapsed="false">
      <c r="A51" s="61" t="n">
        <f aca="false">swap_model!A75</f>
        <v>37226</v>
      </c>
      <c r="B51" s="221" t="n">
        <f aca="false">IF($A51&lt;$B$21,0,IF($A51&gt;$B$22,0,Fwd_curves!H119))</f>
        <v>0</v>
      </c>
      <c r="C51" s="0" t="n">
        <f aca="false">IF($A51&lt;$B$21,0,IF($A51&gt;$B$22,0,IF('H-rate_model'!$B$9="P",external_curves!AI35,external_curves!AH35)))</f>
        <v>0</v>
      </c>
      <c r="D51" s="0" t="n">
        <f aca="false">C51*$B$6</f>
        <v>0</v>
      </c>
      <c r="E51" s="0" t="n">
        <f aca="false">IF($A51&lt;$B$21,0,IF($A51&gt;$B$22,0,IF('H-rate_model'!$B$9="P",external_curves!AB37,external_curves!X37)))</f>
        <v>0</v>
      </c>
      <c r="G51" s="95" t="n">
        <f aca="false">D51*(($B$8*$G$8-$G$9))</f>
        <v>-0</v>
      </c>
      <c r="H51" s="95" t="n">
        <f aca="false">($B$15*E51)*($B$10-$G$8)</f>
        <v>0</v>
      </c>
      <c r="I51" s="95" t="n">
        <f aca="false">D51*($G$9-$B$11)</f>
        <v>-0</v>
      </c>
      <c r="J51" s="95"/>
      <c r="K51" s="95" t="n">
        <f aca="false">SUM(G51:I51)</f>
        <v>0</v>
      </c>
      <c r="L51" s="95" t="n">
        <f aca="false">K51*B51</f>
        <v>0</v>
      </c>
    </row>
    <row r="52" customFormat="false" ht="12.75" hidden="false" customHeight="false" outlineLevel="0" collapsed="false">
      <c r="A52" s="61"/>
    </row>
    <row r="53" customFormat="false" ht="12.75" hidden="false" customHeight="false" outlineLevel="0" collapsed="false">
      <c r="A53" s="61"/>
    </row>
    <row r="54" customFormat="false" ht="15.75" hidden="false" customHeight="false" outlineLevel="0" collapsed="false">
      <c r="A54" s="193" t="s">
        <v>376</v>
      </c>
    </row>
    <row r="55" customFormat="false" ht="12.75" hidden="false" customHeight="false" outlineLevel="0" collapsed="false">
      <c r="A55" s="0" t="s">
        <v>377</v>
      </c>
    </row>
    <row r="56" customFormat="false" ht="15.75" hidden="false" customHeight="false" outlineLevel="0" collapsed="false">
      <c r="A56" s="193" t="s">
        <v>246</v>
      </c>
      <c r="F56" s="193" t="s">
        <v>348</v>
      </c>
    </row>
    <row r="58" customFormat="false" ht="12.75" hidden="false" customHeight="false" outlineLevel="0" collapsed="false">
      <c r="A58" s="0" t="s">
        <v>349</v>
      </c>
      <c r="B58" s="85" t="n">
        <v>25</v>
      </c>
      <c r="F58" s="0" t="s">
        <v>378</v>
      </c>
      <c r="G58" s="54" t="n">
        <f aca="false">B60*B62</f>
        <v>58.33</v>
      </c>
    </row>
    <row r="59" customFormat="false" ht="12.75" hidden="false" customHeight="false" outlineLevel="0" collapsed="false">
      <c r="A59" s="0" t="s">
        <v>351</v>
      </c>
      <c r="B59" s="138" t="n">
        <f aca="false">SUM(D76:D99)</f>
        <v>-3702400</v>
      </c>
    </row>
    <row r="60" customFormat="false" ht="15" hidden="false" customHeight="false" outlineLevel="0" collapsed="false">
      <c r="A60" s="206" t="s">
        <v>379</v>
      </c>
      <c r="B60" s="222" t="n">
        <v>19</v>
      </c>
      <c r="F60" s="0" t="s">
        <v>353</v>
      </c>
      <c r="G60" s="213" t="n">
        <v>2</v>
      </c>
    </row>
    <row r="61" customFormat="false" ht="15" hidden="false" customHeight="false" outlineLevel="0" collapsed="false">
      <c r="A61" s="206" t="s">
        <v>264</v>
      </c>
      <c r="B61" s="214" t="s">
        <v>30</v>
      </c>
      <c r="C61" s="0" t="s">
        <v>355</v>
      </c>
      <c r="F61" s="0" t="s">
        <v>356</v>
      </c>
      <c r="G61" s="213" t="n">
        <v>255</v>
      </c>
    </row>
    <row r="62" customFormat="false" ht="15" hidden="false" customHeight="false" outlineLevel="0" collapsed="false">
      <c r="A62" s="206" t="s">
        <v>380</v>
      </c>
      <c r="B62" s="223" t="n">
        <v>3.07</v>
      </c>
      <c r="C62" s="206" t="s">
        <v>358</v>
      </c>
      <c r="F62" s="0" t="s">
        <v>359</v>
      </c>
      <c r="G62" s="95" t="e">
        <f aca="false">SUM(L76:L99)</f>
        <v>#REF!</v>
      </c>
    </row>
    <row r="63" customFormat="false" ht="15" hidden="false" customHeight="false" outlineLevel="0" collapsed="false">
      <c r="A63" s="206" t="s">
        <v>381</v>
      </c>
      <c r="B63" s="216" t="n">
        <v>60</v>
      </c>
      <c r="C63" s="206"/>
    </row>
    <row r="64" customFormat="false" ht="15" hidden="false" customHeight="false" outlineLevel="0" collapsed="false">
      <c r="A64" s="206" t="s">
        <v>382</v>
      </c>
      <c r="B64" s="224" t="n">
        <f aca="false">B63/B62</f>
        <v>19.5439739413681</v>
      </c>
      <c r="C64" s="206"/>
    </row>
    <row r="65" customFormat="false" ht="15" hidden="false" customHeight="false" outlineLevel="0" collapsed="false">
      <c r="A65" s="206" t="s">
        <v>362</v>
      </c>
      <c r="B65" s="138" t="n">
        <f aca="false">B60*B59</f>
        <v>-70345600</v>
      </c>
      <c r="C65" s="206" t="s">
        <v>363</v>
      </c>
    </row>
    <row r="66" customFormat="false" ht="15" hidden="false" customHeight="false" outlineLevel="0" collapsed="false">
      <c r="A66" s="206" t="s">
        <v>68</v>
      </c>
      <c r="B66" s="138" t="e">
        <f aca="false">SUM(E76:E99)</f>
        <v>#REF!</v>
      </c>
      <c r="C66" s="206"/>
    </row>
    <row r="67" customFormat="false" ht="15" hidden="false" customHeight="false" outlineLevel="0" collapsed="false">
      <c r="A67" s="206" t="s">
        <v>364</v>
      </c>
      <c r="B67" s="218" t="e">
        <f aca="false">B65/B66</f>
        <v>#REF!</v>
      </c>
      <c r="C67" s="206"/>
    </row>
    <row r="69" customFormat="false" ht="15" hidden="false" customHeight="false" outlineLevel="0" collapsed="false">
      <c r="A69" s="206" t="s">
        <v>315</v>
      </c>
      <c r="B69" s="220" t="n">
        <v>36586</v>
      </c>
    </row>
    <row r="70" customFormat="false" ht="15" hidden="false" customHeight="false" outlineLevel="0" collapsed="false">
      <c r="A70" s="206" t="s">
        <v>316</v>
      </c>
      <c r="B70" s="220" t="n">
        <v>36586</v>
      </c>
    </row>
    <row r="71" customFormat="false" ht="15" hidden="false" customHeight="false" outlineLevel="0" collapsed="false">
      <c r="A71" s="206" t="s">
        <v>317</v>
      </c>
      <c r="B71" s="56" t="n">
        <f aca="false">COUNTIF(B76:B99,"&gt;0")</f>
        <v>1</v>
      </c>
    </row>
    <row r="73" customFormat="false" ht="12.75" hidden="false" customHeight="false" outlineLevel="0" collapsed="false">
      <c r="G73" s="0" t="s">
        <v>367</v>
      </c>
    </row>
    <row r="74" customFormat="false" ht="12.75" hidden="false" customHeight="false" outlineLevel="0" collapsed="false">
      <c r="G74" s="0" t="s">
        <v>368</v>
      </c>
      <c r="H74" s="0" t="s">
        <v>369</v>
      </c>
      <c r="I74" s="0" t="s">
        <v>370</v>
      </c>
    </row>
    <row r="75" customFormat="false" ht="12.75" hidden="false" customHeight="false" outlineLevel="0" collapsed="false">
      <c r="A75" s="0" t="s">
        <v>86</v>
      </c>
      <c r="B75" s="0" t="s">
        <v>44</v>
      </c>
      <c r="C75" s="0" t="s">
        <v>102</v>
      </c>
      <c r="D75" s="0" t="s">
        <v>114</v>
      </c>
      <c r="E75" s="0" t="s">
        <v>68</v>
      </c>
      <c r="G75" s="0" t="s">
        <v>383</v>
      </c>
      <c r="H75" s="0" t="s">
        <v>384</v>
      </c>
      <c r="I75" s="0" t="s">
        <v>385</v>
      </c>
      <c r="K75" s="0" t="s">
        <v>374</v>
      </c>
      <c r="L75" s="0" t="s">
        <v>375</v>
      </c>
      <c r="M75" s="0" t="s">
        <v>386</v>
      </c>
    </row>
    <row r="76" customFormat="false" ht="12.75" hidden="false" customHeight="false" outlineLevel="0" collapsed="false">
      <c r="A76" s="61" t="n">
        <f aca="false">swap_model!A52</f>
        <v>36526</v>
      </c>
      <c r="B76" s="221" t="n">
        <f aca="false">IF($A76&lt;$B$69,0,IF($A76&gt;$B$70,0,Fwd_curves!H96))</f>
        <v>0</v>
      </c>
      <c r="C76" s="0" t="n">
        <f aca="false">IF($A76&lt;$B$69,0,IF($A76&gt;$B$70,0,IF('H-rate_model'!$B$61="P",external_curves!AI14,external_curves!AH14)))</f>
        <v>0</v>
      </c>
      <c r="D76" s="0" t="n">
        <f aca="false">C76*$B$6</f>
        <v>0</v>
      </c>
      <c r="E76" s="0" t="n">
        <f aca="false">IF($A76&lt;$B$69,0,IF($A76&gt;$B$70,0,IF('H-rate_model'!$B$9="P",external_curves!AB15,external_curves!X15)))</f>
        <v>0</v>
      </c>
      <c r="G76" s="95" t="n">
        <f aca="false">D76*(($G$61-($B$60*$G$60)))</f>
        <v>0</v>
      </c>
      <c r="H76" s="95" t="e">
        <f aca="false">($B$67*E76)*($G$60-$B$62)</f>
        <v>#REF!</v>
      </c>
      <c r="I76" s="95" t="n">
        <f aca="false">D76*($B$63-$G$61)</f>
        <v>-0</v>
      </c>
      <c r="J76" s="95"/>
      <c r="K76" s="95" t="e">
        <f aca="false">SUM(G76:I76)</f>
        <v>#REF!</v>
      </c>
      <c r="L76" s="95" t="e">
        <f aca="false">K76*B76</f>
        <v>#REF!</v>
      </c>
      <c r="M76" s="54" t="n">
        <f aca="false">D76*(($B$64-$B$60)*$G$60)</f>
        <v>0</v>
      </c>
    </row>
    <row r="77" customFormat="false" ht="12.75" hidden="false" customHeight="false" outlineLevel="0" collapsed="false">
      <c r="A77" s="61" t="n">
        <f aca="false">swap_model!A53</f>
        <v>36557</v>
      </c>
      <c r="B77" s="221" t="n">
        <f aca="false">IF($A77&lt;$B$69,0,IF($A77&gt;$B$70,0,Fwd_curves!H97))</f>
        <v>0</v>
      </c>
      <c r="C77" s="0" t="n">
        <f aca="false">IF($A77&lt;$B$69,0,IF($A77&gt;$B$70,0,IF('H-rate_model'!$B$61="P",external_curves!AI15,external_curves!AH15)))</f>
        <v>0</v>
      </c>
      <c r="D77" s="0" t="n">
        <f aca="false">C77*$B$6</f>
        <v>0</v>
      </c>
      <c r="E77" s="0" t="n">
        <f aca="false">IF($A77&lt;$B$69,0,IF($A77&gt;$B$70,0,IF('H-rate_model'!$B$9="P",external_curves!AB16,external_curves!X16)))</f>
        <v>0</v>
      </c>
      <c r="G77" s="95" t="n">
        <f aca="false">D77*(($G$61-($B$60*$G$60)))</f>
        <v>0</v>
      </c>
      <c r="H77" s="95" t="e">
        <f aca="false">($B$67*E77)*($G$60-$B$62)</f>
        <v>#REF!</v>
      </c>
      <c r="I77" s="95" t="n">
        <f aca="false">D77*($B$63-$G$61)</f>
        <v>-0</v>
      </c>
      <c r="J77" s="95"/>
      <c r="K77" s="95" t="e">
        <f aca="false">SUM(G77:I77)</f>
        <v>#REF!</v>
      </c>
      <c r="L77" s="95" t="e">
        <f aca="false">K77*B77</f>
        <v>#REF!</v>
      </c>
      <c r="M77" s="54" t="e">
        <f aca="false">(($B$64-$B$60)*$G$60)*$B$67*E76</f>
        <v>#REF!</v>
      </c>
    </row>
    <row r="78" customFormat="false" ht="12.75" hidden="false" customHeight="false" outlineLevel="0" collapsed="false">
      <c r="A78" s="61" t="n">
        <f aca="false">swap_model!A54</f>
        <v>36586</v>
      </c>
      <c r="B78" s="221" t="n">
        <f aca="false">IF($A78&lt;$B$69,0,IF($A78&gt;$B$70,0,Fwd_curves!H98))</f>
        <v>4.2769518051475</v>
      </c>
      <c r="C78" s="0" t="n">
        <f aca="false">IF($A78&lt;$B$69,0,IF($A78&gt;$B$70,0,IF('H-rate_model'!$B$61="P",external_curves!AI16,external_curves!AH16)))</f>
        <v>-148096</v>
      </c>
      <c r="D78" s="0" t="n">
        <f aca="false">C78*$B$6</f>
        <v>-3702400</v>
      </c>
      <c r="E78" s="0" t="e">
        <f aca="false">IF($A78&lt;$B$69,0,IF($A78&gt;$B$70,0,IF('H-rate_model'!$B$9="P",#REF!,#REF!)))</f>
        <v>#REF!</v>
      </c>
      <c r="G78" s="95" t="n">
        <f aca="false">D78*(($G$61-($B$60*$G$60)))</f>
        <v>-803420800</v>
      </c>
      <c r="H78" s="95" t="e">
        <f aca="false">($B$67*E78)*($G$60-$B$62)</f>
        <v>#REF!</v>
      </c>
      <c r="I78" s="95" t="n">
        <f aca="false">D78*($B$63-$G$61)</f>
        <v>721968000</v>
      </c>
      <c r="J78" s="95"/>
      <c r="K78" s="95" t="e">
        <f aca="false">SUM(G78:I78)</f>
        <v>#REF!</v>
      </c>
      <c r="L78" s="95" t="e">
        <f aca="false">K78*B78</f>
        <v>#REF!</v>
      </c>
      <c r="M78" s="54" t="n">
        <f aca="false">D78*(($B$64-$B$60)*$G$60)</f>
        <v>-4028018.24104236</v>
      </c>
    </row>
    <row r="79" customFormat="false" ht="12.75" hidden="false" customHeight="false" outlineLevel="0" collapsed="false">
      <c r="A79" s="61" t="n">
        <f aca="false">swap_model!A55</f>
        <v>36617</v>
      </c>
      <c r="B79" s="221" t="n">
        <f aca="false">IF($A79&lt;$B$69,0,IF($A79&gt;$B$70,0,Fwd_curves!H99))</f>
        <v>0</v>
      </c>
      <c r="C79" s="0" t="n">
        <f aca="false">IF($A79&lt;$B$69,0,IF($A79&gt;$B$70,0,IF('H-rate_model'!$B$61="P",#REF!,#REF!)))</f>
        <v>0</v>
      </c>
      <c r="D79" s="0" t="n">
        <f aca="false">C79*$B$6</f>
        <v>0</v>
      </c>
      <c r="E79" s="0" t="n">
        <f aca="false">IF($A79&lt;$B$69,0,IF($A79&gt;$B$70,0,IF('H-rate_model'!$B$9="P",external_curves!AB17,external_curves!X17)))</f>
        <v>0</v>
      </c>
      <c r="G79" s="95" t="n">
        <f aca="false">D79*(($G$61-($B$60*$G$60)))</f>
        <v>0</v>
      </c>
      <c r="H79" s="95" t="e">
        <f aca="false">($B$67*E79)*($G$60-$B$62)</f>
        <v>#REF!</v>
      </c>
      <c r="I79" s="95" t="n">
        <f aca="false">D79*($B$63-$G$61)</f>
        <v>-0</v>
      </c>
      <c r="J79" s="95"/>
      <c r="K79" s="95" t="e">
        <f aca="false">SUM(G79:I79)</f>
        <v>#REF!</v>
      </c>
      <c r="L79" s="95" t="e">
        <f aca="false">K79*B79</f>
        <v>#REF!</v>
      </c>
      <c r="M79" s="54" t="n">
        <f aca="false">D79*(($B$64-$B$60)*$G$60)</f>
        <v>0</v>
      </c>
    </row>
    <row r="80" customFormat="false" ht="12.75" hidden="false" customHeight="false" outlineLevel="0" collapsed="false">
      <c r="A80" s="61" t="n">
        <f aca="false">swap_model!A56</f>
        <v>36647</v>
      </c>
      <c r="B80" s="221" t="n">
        <f aca="false">IF($A80&lt;$B$69,0,IF($A80&gt;$B$70,0,Fwd_curves!H100))</f>
        <v>0</v>
      </c>
      <c r="C80" s="0" t="n">
        <f aca="false">IF($A80&lt;$B$69,0,IF($A80&gt;$B$70,0,IF('H-rate_model'!$B$61="P",external_curves!AI17,external_curves!AH17)))</f>
        <v>0</v>
      </c>
      <c r="D80" s="0" t="n">
        <f aca="false">C80*$B$6</f>
        <v>0</v>
      </c>
      <c r="E80" s="0" t="n">
        <f aca="false">IF($A80&lt;$B$69,0,IF($A80&gt;$B$70,0,IF('H-rate_model'!$B$9="P",external_curves!AB18,external_curves!X18)))</f>
        <v>0</v>
      </c>
      <c r="G80" s="95" t="n">
        <f aca="false">D80*(($G$61-($B$60*$G$60)))</f>
        <v>0</v>
      </c>
      <c r="H80" s="95" t="e">
        <f aca="false">($B$67*E80)*($G$60-$B$62)</f>
        <v>#REF!</v>
      </c>
      <c r="I80" s="95" t="n">
        <f aca="false">D80*($B$63-$G$61)</f>
        <v>-0</v>
      </c>
      <c r="J80" s="95"/>
      <c r="K80" s="95" t="e">
        <f aca="false">SUM(G80:I80)</f>
        <v>#REF!</v>
      </c>
      <c r="L80" s="95" t="e">
        <f aca="false">K80*B80</f>
        <v>#REF!</v>
      </c>
      <c r="M80" s="54" t="n">
        <f aca="false">D80*(($B$64-$B$60)*$G$60)</f>
        <v>0</v>
      </c>
    </row>
    <row r="81" customFormat="false" ht="12.75" hidden="false" customHeight="false" outlineLevel="0" collapsed="false">
      <c r="A81" s="61" t="n">
        <f aca="false">swap_model!A57</f>
        <v>36678</v>
      </c>
      <c r="B81" s="221" t="n">
        <f aca="false">IF($A81&lt;$B$69,0,IF($A81&gt;$B$70,0,Fwd_curves!H101))</f>
        <v>0</v>
      </c>
      <c r="C81" s="0" t="n">
        <f aca="false">IF($A81&lt;$B$69,0,IF($A81&gt;$B$70,0,IF('H-rate_model'!$B$61="P",external_curves!AI18,external_curves!AH18)))</f>
        <v>0</v>
      </c>
      <c r="D81" s="0" t="n">
        <f aca="false">C81*$B$6</f>
        <v>0</v>
      </c>
      <c r="E81" s="0" t="n">
        <f aca="false">IF($A81&lt;$B$69,0,IF($A81&gt;$B$70,0,IF('H-rate_model'!$B$9="P",external_curves!AB19,external_curves!X19)))</f>
        <v>0</v>
      </c>
      <c r="G81" s="95" t="n">
        <f aca="false">D81*(($G$61-($B$60*$G$60)))</f>
        <v>0</v>
      </c>
      <c r="H81" s="95" t="e">
        <f aca="false">($B$67*E81)*($G$60-$B$62)</f>
        <v>#REF!</v>
      </c>
      <c r="I81" s="95" t="n">
        <f aca="false">D81*($B$63-$G$61)</f>
        <v>-0</v>
      </c>
      <c r="J81" s="95"/>
      <c r="K81" s="95" t="e">
        <f aca="false">SUM(G81:I81)</f>
        <v>#REF!</v>
      </c>
      <c r="L81" s="95" t="e">
        <f aca="false">K81*B81</f>
        <v>#REF!</v>
      </c>
      <c r="M81" s="54" t="n">
        <f aca="false">D81*(($B$64-$B$60)*$G$60)</f>
        <v>0</v>
      </c>
    </row>
    <row r="82" customFormat="false" ht="12.75" hidden="false" customHeight="false" outlineLevel="0" collapsed="false">
      <c r="A82" s="61" t="n">
        <f aca="false">swap_model!A58</f>
        <v>36708</v>
      </c>
      <c r="B82" s="221" t="n">
        <f aca="false">IF($A82&lt;$B$69,0,IF($A82&gt;$B$70,0,Fwd_curves!H102))</f>
        <v>0</v>
      </c>
      <c r="C82" s="0" t="n">
        <f aca="false">IF($A82&lt;$B$69,0,IF($A82&gt;$B$70,0,IF('H-rate_model'!$B$61="P",external_curves!AI19,external_curves!AH19)))</f>
        <v>0</v>
      </c>
      <c r="D82" s="0" t="n">
        <f aca="false">C82*$B$6</f>
        <v>0</v>
      </c>
      <c r="E82" s="0" t="n">
        <f aca="false">IF($A82&lt;$B$69,0,IF($A82&gt;$B$70,0,IF('H-rate_model'!$B$9="P",external_curves!AB20,external_curves!X20)))</f>
        <v>0</v>
      </c>
      <c r="G82" s="95" t="n">
        <f aca="false">D82*(($G$61-($B$60*$G$60)))</f>
        <v>0</v>
      </c>
      <c r="H82" s="95" t="e">
        <f aca="false">($B$67*E82)*($G$60-$B$62)</f>
        <v>#REF!</v>
      </c>
      <c r="I82" s="95" t="n">
        <f aca="false">D82*($B$63-$G$61)</f>
        <v>-0</v>
      </c>
      <c r="J82" s="95"/>
      <c r="K82" s="95" t="e">
        <f aca="false">SUM(G82:I82)</f>
        <v>#REF!</v>
      </c>
      <c r="L82" s="95" t="e">
        <f aca="false">K82*B82</f>
        <v>#REF!</v>
      </c>
      <c r="M82" s="54" t="n">
        <f aca="false">D82*(($B$64-$B$60)*$G$60)</f>
        <v>0</v>
      </c>
    </row>
    <row r="83" customFormat="false" ht="12.75" hidden="false" customHeight="false" outlineLevel="0" collapsed="false">
      <c r="A83" s="61" t="n">
        <f aca="false">swap_model!A59</f>
        <v>36739</v>
      </c>
      <c r="B83" s="221" t="n">
        <f aca="false">IF($A83&lt;$B$69,0,IF($A83&gt;$B$70,0,Fwd_curves!H103))</f>
        <v>0</v>
      </c>
      <c r="C83" s="0" t="n">
        <f aca="false">IF($A83&lt;$B$69,0,IF($A83&gt;$B$70,0,IF('H-rate_model'!$B$61="P",external_curves!AI20,external_curves!AH20)))</f>
        <v>0</v>
      </c>
      <c r="D83" s="0" t="n">
        <f aca="false">C83*$B$6</f>
        <v>0</v>
      </c>
      <c r="E83" s="0" t="n">
        <f aca="false">IF($A83&lt;$B$69,0,IF($A83&gt;$B$70,0,IF('H-rate_model'!$B$9="P",external_curves!AB21,external_curves!X21)))</f>
        <v>0</v>
      </c>
      <c r="G83" s="95" t="n">
        <f aca="false">D83*(($G$61-($B$60*$G$60)))</f>
        <v>0</v>
      </c>
      <c r="H83" s="95" t="e">
        <f aca="false">($B$67*E83)*($G$60-$B$62)</f>
        <v>#REF!</v>
      </c>
      <c r="I83" s="95" t="n">
        <f aca="false">D83*($B$63-$G$61)</f>
        <v>-0</v>
      </c>
      <c r="J83" s="95"/>
      <c r="K83" s="95" t="e">
        <f aca="false">SUM(G83:I83)</f>
        <v>#REF!</v>
      </c>
      <c r="L83" s="95" t="e">
        <f aca="false">K83*B83</f>
        <v>#REF!</v>
      </c>
      <c r="M83" s="54" t="n">
        <f aca="false">D83*(($B$64-$B$60)*$G$60)</f>
        <v>0</v>
      </c>
    </row>
    <row r="84" customFormat="false" ht="12.75" hidden="false" customHeight="false" outlineLevel="0" collapsed="false">
      <c r="A84" s="61" t="n">
        <f aca="false">swap_model!A60</f>
        <v>36770</v>
      </c>
      <c r="B84" s="221" t="n">
        <f aca="false">IF($A84&lt;$B$69,0,IF($A84&gt;$B$70,0,Fwd_curves!H104))</f>
        <v>0</v>
      </c>
      <c r="C84" s="0" t="n">
        <f aca="false">IF($A84&lt;$B$69,0,IF($A84&gt;$B$70,0,IF('H-rate_model'!$B$61="P",external_curves!AI21,external_curves!AH21)))</f>
        <v>0</v>
      </c>
      <c r="D84" s="0" t="n">
        <f aca="false">C84*$B$6</f>
        <v>0</v>
      </c>
      <c r="E84" s="0" t="n">
        <f aca="false">IF($A84&lt;$B$69,0,IF($A84&gt;$B$70,0,IF('H-rate_model'!$B$9="P",external_curves!AB22,external_curves!X22)))</f>
        <v>0</v>
      </c>
      <c r="G84" s="95" t="n">
        <f aca="false">D84*(($G$61-($B$60*$G$60)))</f>
        <v>0</v>
      </c>
      <c r="H84" s="95" t="e">
        <f aca="false">($B$67*E84)*($G$60-$B$62)</f>
        <v>#REF!</v>
      </c>
      <c r="I84" s="95" t="n">
        <f aca="false">D84*($B$63-$G$61)</f>
        <v>-0</v>
      </c>
      <c r="J84" s="95"/>
      <c r="K84" s="95" t="e">
        <f aca="false">SUM(G84:I84)</f>
        <v>#REF!</v>
      </c>
      <c r="L84" s="95" t="e">
        <f aca="false">K84*B84</f>
        <v>#REF!</v>
      </c>
      <c r="M84" s="54" t="n">
        <f aca="false">D84*(($B$64-$B$60)*$G$60)</f>
        <v>0</v>
      </c>
    </row>
    <row r="85" customFormat="false" ht="12.75" hidden="false" customHeight="false" outlineLevel="0" collapsed="false">
      <c r="A85" s="61" t="n">
        <f aca="false">swap_model!A61</f>
        <v>36800</v>
      </c>
      <c r="B85" s="221" t="n">
        <f aca="false">IF($A85&lt;$B$69,0,IF($A85&gt;$B$70,0,Fwd_curves!H105))</f>
        <v>0</v>
      </c>
      <c r="C85" s="0" t="n">
        <f aca="false">IF($A85&lt;$B$69,0,IF($A85&gt;$B$70,0,IF('H-rate_model'!$B$61="P",external_curves!AI22,external_curves!AH22)))</f>
        <v>0</v>
      </c>
      <c r="D85" s="0" t="n">
        <f aca="false">C85*$B$6</f>
        <v>0</v>
      </c>
      <c r="E85" s="0" t="n">
        <f aca="false">IF($A85&lt;$B$69,0,IF($A85&gt;$B$70,0,IF('H-rate_model'!$B$9="P",external_curves!AB23,external_curves!X23)))</f>
        <v>0</v>
      </c>
      <c r="G85" s="95" t="n">
        <f aca="false">D85*(($G$61-($B$60*$G$60)))</f>
        <v>0</v>
      </c>
      <c r="H85" s="95" t="e">
        <f aca="false">($B$67*E85)*($G$60-$B$62)</f>
        <v>#REF!</v>
      </c>
      <c r="I85" s="95" t="n">
        <f aca="false">D85*($B$63-$G$61)</f>
        <v>-0</v>
      </c>
      <c r="J85" s="95"/>
      <c r="K85" s="95" t="e">
        <f aca="false">SUM(G85:I85)</f>
        <v>#REF!</v>
      </c>
      <c r="L85" s="95" t="e">
        <f aca="false">K85*B85</f>
        <v>#REF!</v>
      </c>
      <c r="M85" s="54" t="n">
        <f aca="false">D85*(($B$64-$B$60)*$G$60)</f>
        <v>0</v>
      </c>
    </row>
    <row r="86" customFormat="false" ht="12.75" hidden="false" customHeight="false" outlineLevel="0" collapsed="false">
      <c r="A86" s="61" t="n">
        <f aca="false">swap_model!A62</f>
        <v>36831</v>
      </c>
      <c r="B86" s="221" t="n">
        <f aca="false">IF($A86&lt;$B$69,0,IF($A86&gt;$B$70,0,Fwd_curves!H106))</f>
        <v>0</v>
      </c>
      <c r="C86" s="0" t="n">
        <f aca="false">IF($A86&lt;$B$69,0,IF($A86&gt;$B$70,0,IF('H-rate_model'!$B$61="P",external_curves!AI23,external_curves!AH23)))</f>
        <v>0</v>
      </c>
      <c r="D86" s="0" t="n">
        <f aca="false">C86*$B$6</f>
        <v>0</v>
      </c>
      <c r="E86" s="0" t="n">
        <f aca="false">IF($A86&lt;$B$69,0,IF($A86&gt;$B$70,0,IF('H-rate_model'!$B$9="P",external_curves!AB24,external_curves!X24)))</f>
        <v>0</v>
      </c>
      <c r="G86" s="95" t="n">
        <f aca="false">D86*(($G$61-($B$60*$G$60)))</f>
        <v>0</v>
      </c>
      <c r="H86" s="95" t="e">
        <f aca="false">($B$67*E86)*($G$60-$B$62)</f>
        <v>#REF!</v>
      </c>
      <c r="I86" s="95" t="n">
        <f aca="false">D86*($B$63-$G$61)</f>
        <v>-0</v>
      </c>
      <c r="J86" s="95"/>
      <c r="K86" s="95" t="e">
        <f aca="false">SUM(G86:I86)</f>
        <v>#REF!</v>
      </c>
      <c r="L86" s="95" t="e">
        <f aca="false">K86*B86</f>
        <v>#REF!</v>
      </c>
      <c r="M86" s="54" t="n">
        <f aca="false">D86*(($B$64-$B$60)*$G$60)</f>
        <v>0</v>
      </c>
    </row>
    <row r="87" customFormat="false" ht="12.75" hidden="false" customHeight="false" outlineLevel="0" collapsed="false">
      <c r="A87" s="61" t="n">
        <f aca="false">swap_model!A63</f>
        <v>36861</v>
      </c>
      <c r="B87" s="221" t="n">
        <f aca="false">IF($A87&lt;$B$69,0,IF($A87&gt;$B$70,0,Fwd_curves!H107))</f>
        <v>0</v>
      </c>
      <c r="C87" s="0" t="n">
        <f aca="false">IF($A87&lt;$B$69,0,IF($A87&gt;$B$70,0,IF('H-rate_model'!$B$61="P",external_curves!AI24,external_curves!AH24)))</f>
        <v>0</v>
      </c>
      <c r="D87" s="0" t="n">
        <f aca="false">C87*$B$6</f>
        <v>0</v>
      </c>
      <c r="E87" s="0" t="n">
        <f aca="false">IF($A87&lt;$B$69,0,IF($A87&gt;$B$70,0,IF('H-rate_model'!$B$9="P",external_curves!AB25,external_curves!X25)))</f>
        <v>0</v>
      </c>
      <c r="G87" s="95" t="n">
        <f aca="false">D87*(($G$61-($B$60*$G$60)))</f>
        <v>0</v>
      </c>
      <c r="H87" s="95" t="e">
        <f aca="false">($B$67*E87)*($G$60-$B$62)</f>
        <v>#REF!</v>
      </c>
      <c r="I87" s="95" t="n">
        <f aca="false">D87*($B$63-$G$61)</f>
        <v>-0</v>
      </c>
      <c r="J87" s="95"/>
      <c r="K87" s="95" t="e">
        <f aca="false">SUM(G87:I87)</f>
        <v>#REF!</v>
      </c>
      <c r="L87" s="95" t="e">
        <f aca="false">K87*B87</f>
        <v>#REF!</v>
      </c>
      <c r="M87" s="54" t="n">
        <f aca="false">D87*(($B$64-$B$60)*$G$60)</f>
        <v>0</v>
      </c>
    </row>
    <row r="88" customFormat="false" ht="12.75" hidden="false" customHeight="false" outlineLevel="0" collapsed="false">
      <c r="A88" s="61" t="n">
        <f aca="false">swap_model!A64</f>
        <v>36892</v>
      </c>
      <c r="B88" s="221" t="n">
        <f aca="false">IF($A88&lt;$B$69,0,IF($A88&gt;$B$70,0,Fwd_curves!H108))</f>
        <v>0</v>
      </c>
      <c r="C88" s="0" t="n">
        <f aca="false">IF($A88&lt;$B$69,0,IF($A88&gt;$B$70,0,IF('H-rate_model'!$B$61="P",external_curves!AI25,external_curves!AH25)))</f>
        <v>0</v>
      </c>
      <c r="D88" s="0" t="n">
        <f aca="false">C88*$B$6</f>
        <v>0</v>
      </c>
      <c r="E88" s="0" t="n">
        <f aca="false">IF($A88&lt;$B$69,0,IF($A88&gt;$B$70,0,IF('H-rate_model'!$B$9="P",external_curves!AB26,external_curves!X26)))</f>
        <v>0</v>
      </c>
      <c r="G88" s="95" t="n">
        <f aca="false">D88*(($G$61-($B$60*$G$60)))</f>
        <v>0</v>
      </c>
      <c r="H88" s="95" t="e">
        <f aca="false">($B$67*E88)*($G$60-$B$62)</f>
        <v>#REF!</v>
      </c>
      <c r="I88" s="95" t="n">
        <f aca="false">D88*($B$63-$G$61)</f>
        <v>-0</v>
      </c>
      <c r="J88" s="95"/>
      <c r="K88" s="95" t="e">
        <f aca="false">SUM(G88:I88)</f>
        <v>#REF!</v>
      </c>
      <c r="L88" s="95" t="e">
        <f aca="false">K88*B88</f>
        <v>#REF!</v>
      </c>
      <c r="M88" s="54" t="n">
        <f aca="false">D88*(($B$64-$B$60)*$G$60)</f>
        <v>0</v>
      </c>
    </row>
    <row r="89" customFormat="false" ht="12.75" hidden="false" customHeight="false" outlineLevel="0" collapsed="false">
      <c r="A89" s="61" t="n">
        <f aca="false">swap_model!A65</f>
        <v>36923</v>
      </c>
      <c r="B89" s="221" t="n">
        <f aca="false">IF($A89&lt;$B$69,0,IF($A89&gt;$B$70,0,Fwd_curves!H109))</f>
        <v>0</v>
      </c>
      <c r="C89" s="0" t="n">
        <f aca="false">IF($A89&lt;$B$69,0,IF($A89&gt;$B$70,0,IF('H-rate_model'!$B$61="P",external_curves!AI26,external_curves!AH26)))</f>
        <v>0</v>
      </c>
      <c r="D89" s="0" t="n">
        <f aca="false">C89*$B$6</f>
        <v>0</v>
      </c>
      <c r="E89" s="0" t="n">
        <f aca="false">IF($A89&lt;$B$69,0,IF($A89&gt;$B$70,0,IF('H-rate_model'!$B$9="P",external_curves!AB27,external_curves!X27)))</f>
        <v>0</v>
      </c>
      <c r="G89" s="95" t="n">
        <f aca="false">D89*(($G$61-($B$60*$G$60)))</f>
        <v>0</v>
      </c>
      <c r="H89" s="95" t="e">
        <f aca="false">($B$67*E89)*($G$60-$B$62)</f>
        <v>#REF!</v>
      </c>
      <c r="I89" s="95" t="n">
        <f aca="false">D89*($B$63-$G$61)</f>
        <v>-0</v>
      </c>
      <c r="J89" s="95"/>
      <c r="K89" s="95" t="e">
        <f aca="false">SUM(G89:I89)</f>
        <v>#REF!</v>
      </c>
      <c r="L89" s="95" t="e">
        <f aca="false">K89*B89</f>
        <v>#REF!</v>
      </c>
      <c r="M89" s="54" t="n">
        <f aca="false">D89*(($B$64-$B$60)*$G$60)</f>
        <v>0</v>
      </c>
    </row>
    <row r="90" customFormat="false" ht="12.75" hidden="false" customHeight="false" outlineLevel="0" collapsed="false">
      <c r="A90" s="61" t="n">
        <f aca="false">swap_model!A66</f>
        <v>36951</v>
      </c>
      <c r="B90" s="221" t="n">
        <f aca="false">IF($A90&lt;$B$69,0,IF($A90&gt;$B$70,0,Fwd_curves!H110))</f>
        <v>0</v>
      </c>
      <c r="C90" s="0" t="n">
        <f aca="false">IF($A90&lt;$B$69,0,IF($A90&gt;$B$70,0,IF('H-rate_model'!$B$61="P",external_curves!AI27,external_curves!AH27)))</f>
        <v>0</v>
      </c>
      <c r="D90" s="0" t="n">
        <f aca="false">C90*$B$6</f>
        <v>0</v>
      </c>
      <c r="E90" s="0" t="n">
        <f aca="false">IF($A90&lt;$B$69,0,IF($A90&gt;$B$70,0,IF('H-rate_model'!$B$9="P",external_curves!AB28,external_curves!X28)))</f>
        <v>0</v>
      </c>
      <c r="G90" s="95" t="n">
        <f aca="false">D90*(($G$61-($B$60*$G$60)))</f>
        <v>0</v>
      </c>
      <c r="H90" s="95" t="e">
        <f aca="false">($B$67*E90)*($G$60-$B$62)</f>
        <v>#REF!</v>
      </c>
      <c r="I90" s="95" t="n">
        <f aca="false">D90*($B$63-$G$61)</f>
        <v>-0</v>
      </c>
      <c r="J90" s="95"/>
      <c r="K90" s="95" t="e">
        <f aca="false">SUM(G90:I90)</f>
        <v>#REF!</v>
      </c>
      <c r="L90" s="95" t="e">
        <f aca="false">K90*B90</f>
        <v>#REF!</v>
      </c>
      <c r="M90" s="54" t="n">
        <f aca="false">D90*(($B$64-$B$60)*$G$60)</f>
        <v>0</v>
      </c>
    </row>
    <row r="91" customFormat="false" ht="12.75" hidden="false" customHeight="false" outlineLevel="0" collapsed="false">
      <c r="A91" s="61" t="n">
        <f aca="false">swap_model!A67</f>
        <v>36982</v>
      </c>
      <c r="B91" s="221" t="n">
        <f aca="false">IF($A91&lt;$B$69,0,IF($A91&gt;$B$70,0,Fwd_curves!H111))</f>
        <v>0</v>
      </c>
      <c r="C91" s="0" t="n">
        <f aca="false">IF($A91&lt;$B$69,0,IF($A91&gt;$B$70,0,IF('H-rate_model'!$B$61="P",external_curves!AI28,external_curves!AH28)))</f>
        <v>0</v>
      </c>
      <c r="D91" s="0" t="n">
        <f aca="false">C91*$B$6</f>
        <v>0</v>
      </c>
      <c r="E91" s="0" t="n">
        <f aca="false">IF($A91&lt;$B$69,0,IF($A91&gt;$B$70,0,IF('H-rate_model'!$B$9="P",external_curves!AB29,external_curves!X29)))</f>
        <v>0</v>
      </c>
      <c r="G91" s="95" t="n">
        <f aca="false">D91*(($G$61-($B$60*$G$60)))</f>
        <v>0</v>
      </c>
      <c r="H91" s="95" t="e">
        <f aca="false">($B$67*E91)*($G$60-$B$62)</f>
        <v>#REF!</v>
      </c>
      <c r="I91" s="95" t="n">
        <f aca="false">D91*($B$63-$G$61)</f>
        <v>-0</v>
      </c>
      <c r="J91" s="95"/>
      <c r="K91" s="95" t="e">
        <f aca="false">SUM(G91:I91)</f>
        <v>#REF!</v>
      </c>
      <c r="L91" s="95" t="e">
        <f aca="false">K91*B91</f>
        <v>#REF!</v>
      </c>
      <c r="M91" s="54" t="n">
        <f aca="false">D91*(($B$64-$B$60)*$G$60)</f>
        <v>0</v>
      </c>
    </row>
    <row r="92" customFormat="false" ht="12.75" hidden="false" customHeight="false" outlineLevel="0" collapsed="false">
      <c r="A92" s="61" t="n">
        <f aca="false">swap_model!A68</f>
        <v>37012</v>
      </c>
      <c r="B92" s="221" t="n">
        <f aca="false">IF($A92&lt;$B$69,0,IF($A92&gt;$B$70,0,Fwd_curves!H112))</f>
        <v>0</v>
      </c>
      <c r="C92" s="0" t="n">
        <f aca="false">IF($A92&lt;$B$69,0,IF($A92&gt;$B$70,0,IF('H-rate_model'!$B$61="P",external_curves!AI29,external_curves!AH29)))</f>
        <v>0</v>
      </c>
      <c r="D92" s="0" t="n">
        <f aca="false">C92*$B$6</f>
        <v>0</v>
      </c>
      <c r="E92" s="0" t="n">
        <f aca="false">IF($A92&lt;$B$69,0,IF($A92&gt;$B$70,0,IF('H-rate_model'!$B$9="P",external_curves!AB30,external_curves!X30)))</f>
        <v>0</v>
      </c>
      <c r="G92" s="95" t="n">
        <f aca="false">D92*(($G$61-($B$60*$G$60)))</f>
        <v>0</v>
      </c>
      <c r="H92" s="95" t="e">
        <f aca="false">($B$67*E92)*($G$60-$B$62)</f>
        <v>#REF!</v>
      </c>
      <c r="I92" s="95" t="n">
        <f aca="false">D92*($B$63-$G$61)</f>
        <v>-0</v>
      </c>
      <c r="J92" s="95"/>
      <c r="K92" s="95" t="e">
        <f aca="false">SUM(G92:I92)</f>
        <v>#REF!</v>
      </c>
      <c r="L92" s="95" t="e">
        <f aca="false">K92*B92</f>
        <v>#REF!</v>
      </c>
      <c r="M92" s="54" t="n">
        <f aca="false">D92*(($B$64-$B$60)*$G$60)</f>
        <v>0</v>
      </c>
    </row>
    <row r="93" customFormat="false" ht="12.75" hidden="false" customHeight="false" outlineLevel="0" collapsed="false">
      <c r="A93" s="61" t="n">
        <f aca="false">swap_model!A69</f>
        <v>37043</v>
      </c>
      <c r="B93" s="221" t="n">
        <f aca="false">IF($A93&lt;$B$69,0,IF($A93&gt;$B$70,0,Fwd_curves!H113))</f>
        <v>0</v>
      </c>
      <c r="C93" s="0" t="n">
        <f aca="false">IF($A93&lt;$B$69,0,IF($A93&gt;$B$70,0,IF('H-rate_model'!$B$61="P",external_curves!AI30,external_curves!AH30)))</f>
        <v>0</v>
      </c>
      <c r="D93" s="0" t="n">
        <f aca="false">C93*$B$6</f>
        <v>0</v>
      </c>
      <c r="E93" s="0" t="n">
        <f aca="false">IF($A93&lt;$B$69,0,IF($A93&gt;$B$70,0,IF('H-rate_model'!$B$9="P",external_curves!AB31,external_curves!X31)))</f>
        <v>0</v>
      </c>
      <c r="G93" s="95" t="n">
        <f aca="false">D93*(($G$61-($B$60*$G$60)))</f>
        <v>0</v>
      </c>
      <c r="H93" s="95" t="e">
        <f aca="false">($B$67*E93)*($G$60-$B$62)</f>
        <v>#REF!</v>
      </c>
      <c r="I93" s="95" t="n">
        <f aca="false">D93*($B$63-$G$61)</f>
        <v>-0</v>
      </c>
      <c r="J93" s="95"/>
      <c r="K93" s="95" t="e">
        <f aca="false">SUM(G93:I93)</f>
        <v>#REF!</v>
      </c>
      <c r="L93" s="95" t="e">
        <f aca="false">K93*B93</f>
        <v>#REF!</v>
      </c>
      <c r="M93" s="54" t="n">
        <f aca="false">D93*(($B$64-$B$60)*$G$60)</f>
        <v>0</v>
      </c>
    </row>
    <row r="94" customFormat="false" ht="12.75" hidden="false" customHeight="false" outlineLevel="0" collapsed="false">
      <c r="A94" s="61" t="n">
        <f aca="false">swap_model!A70</f>
        <v>37073</v>
      </c>
      <c r="B94" s="221" t="n">
        <f aca="false">IF($A94&lt;$B$69,0,IF($A94&gt;$B$70,0,Fwd_curves!H114))</f>
        <v>0</v>
      </c>
      <c r="C94" s="0" t="n">
        <f aca="false">IF($A94&lt;$B$69,0,IF($A94&gt;$B$70,0,IF('H-rate_model'!$B$61="P",external_curves!AI31,external_curves!AH31)))</f>
        <v>0</v>
      </c>
      <c r="D94" s="0" t="n">
        <f aca="false">C94*$B$6</f>
        <v>0</v>
      </c>
      <c r="E94" s="0" t="n">
        <f aca="false">IF($A94&lt;$B$69,0,IF($A94&gt;$B$70,0,IF('H-rate_model'!$B$9="P",external_curves!AB32,external_curves!X32)))</f>
        <v>0</v>
      </c>
      <c r="G94" s="95" t="n">
        <f aca="false">D94*(($G$61-($B$60*$G$60)))</f>
        <v>0</v>
      </c>
      <c r="H94" s="95" t="e">
        <f aca="false">($B$67*E94)*($G$60-$B$62)</f>
        <v>#REF!</v>
      </c>
      <c r="I94" s="95" t="n">
        <f aca="false">D94*($B$63-$G$61)</f>
        <v>-0</v>
      </c>
      <c r="J94" s="95"/>
      <c r="K94" s="95" t="e">
        <f aca="false">SUM(G94:I94)</f>
        <v>#REF!</v>
      </c>
      <c r="L94" s="95" t="e">
        <f aca="false">K94*B94</f>
        <v>#REF!</v>
      </c>
      <c r="M94" s="54" t="n">
        <f aca="false">D94*(($B$64-$B$60)*$G$60)</f>
        <v>0</v>
      </c>
    </row>
    <row r="95" customFormat="false" ht="12.75" hidden="false" customHeight="false" outlineLevel="0" collapsed="false">
      <c r="A95" s="61" t="n">
        <f aca="false">swap_model!A71</f>
        <v>37104</v>
      </c>
      <c r="B95" s="221" t="n">
        <f aca="false">IF($A95&lt;$B$69,0,IF($A95&gt;$B$70,0,Fwd_curves!H115))</f>
        <v>0</v>
      </c>
      <c r="C95" s="0" t="n">
        <f aca="false">IF($A95&lt;$B$69,0,IF($A95&gt;$B$70,0,IF('H-rate_model'!$B$61="P",external_curves!AI32,external_curves!AH32)))</f>
        <v>0</v>
      </c>
      <c r="D95" s="0" t="n">
        <f aca="false">C95*$B$6</f>
        <v>0</v>
      </c>
      <c r="E95" s="0" t="n">
        <f aca="false">IF($A95&lt;$B$69,0,IF($A95&gt;$B$70,0,IF('H-rate_model'!$B$9="P",external_curves!AB33,external_curves!X33)))</f>
        <v>0</v>
      </c>
      <c r="G95" s="95" t="n">
        <f aca="false">D95*(($G$61-($B$60*$G$60)))</f>
        <v>0</v>
      </c>
      <c r="H95" s="95" t="e">
        <f aca="false">($B$67*E95)*($G$60-$B$62)</f>
        <v>#REF!</v>
      </c>
      <c r="I95" s="95" t="n">
        <f aca="false">D95*($B$63-$G$61)</f>
        <v>-0</v>
      </c>
      <c r="J95" s="95"/>
      <c r="K95" s="95" t="e">
        <f aca="false">SUM(G95:I95)</f>
        <v>#REF!</v>
      </c>
      <c r="L95" s="95" t="e">
        <f aca="false">K95*B95</f>
        <v>#REF!</v>
      </c>
      <c r="M95" s="54" t="n">
        <f aca="false">D95*(($B$64-$B$60)*$G$60)</f>
        <v>0</v>
      </c>
    </row>
    <row r="96" customFormat="false" ht="12.75" hidden="false" customHeight="false" outlineLevel="0" collapsed="false">
      <c r="A96" s="61" t="n">
        <f aca="false">swap_model!A72</f>
        <v>37135</v>
      </c>
      <c r="B96" s="221" t="n">
        <f aca="false">IF($A96&lt;$B$69,0,IF($A96&gt;$B$70,0,Fwd_curves!H116))</f>
        <v>0</v>
      </c>
      <c r="C96" s="0" t="n">
        <f aca="false">IF($A96&lt;$B$69,0,IF($A96&gt;$B$70,0,IF('H-rate_model'!$B$61="P",external_curves!AI33,external_curves!AH33)))</f>
        <v>0</v>
      </c>
      <c r="D96" s="0" t="n">
        <f aca="false">C96*$B$6</f>
        <v>0</v>
      </c>
      <c r="E96" s="0" t="n">
        <f aca="false">IF($A96&lt;$B$69,0,IF($A96&gt;$B$70,0,IF('H-rate_model'!$B$9="P",external_curves!AB34,external_curves!X34)))</f>
        <v>0</v>
      </c>
      <c r="G96" s="95" t="n">
        <f aca="false">D96*(($G$61-($B$60*$G$60)))</f>
        <v>0</v>
      </c>
      <c r="H96" s="95" t="e">
        <f aca="false">($B$67*E96)*($G$60-$B$62)</f>
        <v>#REF!</v>
      </c>
      <c r="I96" s="95" t="n">
        <f aca="false">D96*($B$63-$G$61)</f>
        <v>-0</v>
      </c>
      <c r="J96" s="95"/>
      <c r="K96" s="95" t="e">
        <f aca="false">SUM(G96:I96)</f>
        <v>#REF!</v>
      </c>
      <c r="L96" s="95" t="e">
        <f aca="false">K96*B96</f>
        <v>#REF!</v>
      </c>
      <c r="M96" s="54" t="n">
        <f aca="false">D96*(($B$64-$B$60)*$G$60)</f>
        <v>0</v>
      </c>
    </row>
    <row r="97" customFormat="false" ht="12.75" hidden="false" customHeight="false" outlineLevel="0" collapsed="false">
      <c r="A97" s="61" t="n">
        <f aca="false">swap_model!A73</f>
        <v>37165</v>
      </c>
      <c r="B97" s="221" t="n">
        <f aca="false">IF($A97&lt;$B$69,0,IF($A97&gt;$B$70,0,Fwd_curves!H117))</f>
        <v>0</v>
      </c>
      <c r="C97" s="0" t="n">
        <f aca="false">IF($A97&lt;$B$69,0,IF($A97&gt;$B$70,0,IF('H-rate_model'!$B$61="P",external_curves!AI34,external_curves!AH34)))</f>
        <v>0</v>
      </c>
      <c r="D97" s="0" t="n">
        <f aca="false">C97*$B$6</f>
        <v>0</v>
      </c>
      <c r="E97" s="0" t="n">
        <f aca="false">IF($A97&lt;$B$69,0,IF($A97&gt;$B$70,0,IF('H-rate_model'!$B$9="P",external_curves!AB35,external_curves!X35)))</f>
        <v>0</v>
      </c>
      <c r="G97" s="95" t="n">
        <f aca="false">D97*(($G$61-($B$60*$G$60)))</f>
        <v>0</v>
      </c>
      <c r="H97" s="95" t="e">
        <f aca="false">($B$67*E97)*($G$60-$B$62)</f>
        <v>#REF!</v>
      </c>
      <c r="I97" s="95" t="n">
        <f aca="false">D97*($B$63-$G$61)</f>
        <v>-0</v>
      </c>
      <c r="J97" s="95"/>
      <c r="K97" s="95" t="e">
        <f aca="false">SUM(G97:I97)</f>
        <v>#REF!</v>
      </c>
      <c r="L97" s="95" t="e">
        <f aca="false">K97*B97</f>
        <v>#REF!</v>
      </c>
      <c r="M97" s="54" t="n">
        <f aca="false">D97*(($B$64-$B$60)*$G$60)</f>
        <v>0</v>
      </c>
    </row>
    <row r="98" customFormat="false" ht="12.75" hidden="false" customHeight="false" outlineLevel="0" collapsed="false">
      <c r="A98" s="61" t="n">
        <f aca="false">swap_model!A74</f>
        <v>37196</v>
      </c>
      <c r="B98" s="221" t="n">
        <f aca="false">IF($A98&lt;$B$69,0,IF($A98&gt;$B$70,0,Fwd_curves!H118))</f>
        <v>0</v>
      </c>
      <c r="C98" s="0" t="n">
        <f aca="false">IF($A98&lt;$B$69,0,IF($A98&gt;$B$70,0,IF('H-rate_model'!$B$61="P",external_curves!AI35,external_curves!AH35)))</f>
        <v>0</v>
      </c>
      <c r="D98" s="0" t="n">
        <f aca="false">C98*$B$6</f>
        <v>0</v>
      </c>
      <c r="E98" s="0" t="n">
        <f aca="false">IF($A98&lt;$B$69,0,IF($A98&gt;$B$70,0,IF('H-rate_model'!$B$9="P",external_curves!AB36,external_curves!X36)))</f>
        <v>0</v>
      </c>
      <c r="G98" s="95" t="n">
        <f aca="false">D98*(($G$61-($B$60*$G$60)))</f>
        <v>0</v>
      </c>
      <c r="H98" s="95" t="e">
        <f aca="false">($B$67*E98)*($G$60-$B$62)</f>
        <v>#REF!</v>
      </c>
      <c r="I98" s="95" t="n">
        <f aca="false">D98*($B$63-$G$61)</f>
        <v>-0</v>
      </c>
      <c r="J98" s="95"/>
      <c r="K98" s="95" t="e">
        <f aca="false">SUM(G98:I98)</f>
        <v>#REF!</v>
      </c>
      <c r="L98" s="95" t="e">
        <f aca="false">K98*B98</f>
        <v>#REF!</v>
      </c>
      <c r="M98" s="54" t="n">
        <f aca="false">D98*(($B$64-$B$60)*$G$60)</f>
        <v>0</v>
      </c>
    </row>
    <row r="99" customFormat="false" ht="12.75" hidden="false" customHeight="false" outlineLevel="0" collapsed="false">
      <c r="A99" s="61" t="n">
        <f aca="false">swap_model!A75</f>
        <v>37226</v>
      </c>
      <c r="B99" s="221" t="n">
        <f aca="false">IF($A99&lt;$B$69,0,IF($A99&gt;$B$70,0,Fwd_curves!H119))</f>
        <v>0</v>
      </c>
      <c r="C99" s="0" t="n">
        <f aca="false">IF($A99&lt;$B$69,0,IF($A99&gt;$B$70,0,IF('H-rate_model'!$B$61="P",external_curves!AI36,external_curves!AH36)))</f>
        <v>0</v>
      </c>
      <c r="D99" s="0" t="n">
        <f aca="false">C99*$B$6</f>
        <v>0</v>
      </c>
      <c r="E99" s="0" t="n">
        <f aca="false">IF($A99&lt;$B$69,0,IF($A99&gt;$B$70,0,IF('H-rate_model'!$B$9="P",external_curves!AB37,external_curves!X37)))</f>
        <v>0</v>
      </c>
      <c r="G99" s="95" t="n">
        <f aca="false">D99*(($G$61-($B$60*$G$60)))</f>
        <v>0</v>
      </c>
      <c r="H99" s="95" t="e">
        <f aca="false">($B$67*E99)*($G$60-$B$62)</f>
        <v>#REF!</v>
      </c>
      <c r="I99" s="95" t="n">
        <f aca="false">D99*($B$63-$G$61)</f>
        <v>-0</v>
      </c>
      <c r="J99" s="95"/>
      <c r="K99" s="95" t="e">
        <f aca="false">SUM(G99:I99)</f>
        <v>#REF!</v>
      </c>
      <c r="L99" s="95" t="e">
        <f aca="false">K99*B99</f>
        <v>#REF!</v>
      </c>
      <c r="M99" s="54" t="n">
        <f aca="false">D99*(($B$64-$B$60)*$G$60)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41"/>
    <col collapsed="false" customWidth="true" hidden="false" outlineLevel="0" max="2" min="2" style="0" width="18.7"/>
    <col collapsed="false" customWidth="true" hidden="false" outlineLevel="0" max="3" min="3" style="0" width="14.41"/>
    <col collapsed="false" customWidth="true" hidden="false" outlineLevel="0" max="4" min="4" style="0" width="12.99"/>
    <col collapsed="false" customWidth="true" hidden="false" outlineLevel="0" max="5" min="5" style="0" width="13.99"/>
    <col collapsed="false" customWidth="true" hidden="false" outlineLevel="0" max="6" min="6" style="0" width="25.99"/>
    <col collapsed="false" customWidth="true" hidden="false" outlineLevel="0" max="7" min="7" style="0" width="17.42"/>
    <col collapsed="false" customWidth="true" hidden="false" outlineLevel="0" max="8" min="8" style="0" width="14.99"/>
    <col collapsed="false" customWidth="true" hidden="false" outlineLevel="0" max="9" min="9" style="0" width="16.28"/>
    <col collapsed="false" customWidth="true" hidden="false" outlineLevel="0" max="10" min="10" style="0" width="15.13"/>
    <col collapsed="false" customWidth="true" hidden="false" outlineLevel="0" max="11" min="11" style="0" width="12.85"/>
    <col collapsed="false" customWidth="true" hidden="false" outlineLevel="0" max="12" min="12" style="0" width="13.14"/>
    <col collapsed="false" customWidth="true" hidden="false" outlineLevel="0" max="13" min="13" style="0" width="16.28"/>
  </cols>
  <sheetData>
    <row r="2" customFormat="false" ht="15.75" hidden="false" customHeight="false" outlineLevel="0" collapsed="false">
      <c r="A2" s="193" t="s">
        <v>387</v>
      </c>
    </row>
    <row r="4" customFormat="false" ht="15.75" hidden="false" customHeight="false" outlineLevel="0" collapsed="false">
      <c r="A4" s="193" t="s">
        <v>246</v>
      </c>
      <c r="F4" s="193" t="s">
        <v>348</v>
      </c>
    </row>
    <row r="5" customFormat="false" ht="12.75" hidden="false" customHeight="false" outlineLevel="0" collapsed="false">
      <c r="K5" s="0" t="s">
        <v>364</v>
      </c>
    </row>
    <row r="6" customFormat="false" ht="12.75" hidden="false" customHeight="false" outlineLevel="0" collapsed="false">
      <c r="A6" s="0" t="s">
        <v>388</v>
      </c>
      <c r="B6" s="225" t="n">
        <v>10000</v>
      </c>
      <c r="F6" s="0" t="s">
        <v>389</v>
      </c>
      <c r="G6" s="54" t="n">
        <f aca="false">(1/B8)*G9</f>
        <v>2.4375</v>
      </c>
    </row>
    <row r="7" customFormat="false" ht="12.75" hidden="false" customHeight="false" outlineLevel="0" collapsed="false">
      <c r="A7" s="0" t="s">
        <v>390</v>
      </c>
      <c r="B7" s="138" t="n">
        <f aca="false">SUM(F27:F50)</f>
        <v>310000</v>
      </c>
    </row>
    <row r="8" customFormat="false" ht="15" hidden="false" customHeight="false" outlineLevel="0" collapsed="false">
      <c r="A8" s="206" t="s">
        <v>391</v>
      </c>
      <c r="B8" s="226" t="n">
        <v>16</v>
      </c>
      <c r="F8" s="0" t="s">
        <v>392</v>
      </c>
      <c r="G8" s="213" t="n">
        <v>2.9</v>
      </c>
    </row>
    <row r="9" customFormat="false" ht="15" hidden="false" customHeight="false" outlineLevel="0" collapsed="false">
      <c r="A9" s="206" t="s">
        <v>264</v>
      </c>
      <c r="B9" s="214" t="s">
        <v>354</v>
      </c>
      <c r="C9" s="0" t="s">
        <v>355</v>
      </c>
      <c r="F9" s="0" t="s">
        <v>393</v>
      </c>
      <c r="G9" s="213" t="n">
        <v>39</v>
      </c>
    </row>
    <row r="10" customFormat="false" ht="15" hidden="false" customHeight="false" outlineLevel="0" collapsed="false">
      <c r="A10" s="206" t="s">
        <v>394</v>
      </c>
      <c r="B10" s="223" t="n">
        <v>3.66</v>
      </c>
      <c r="C10" s="206"/>
      <c r="F10" s="0" t="s">
        <v>359</v>
      </c>
      <c r="G10" s="95" t="n">
        <f aca="false">SUM(O27:O50)</f>
        <v>868740.968885939</v>
      </c>
    </row>
    <row r="11" customFormat="false" ht="15" hidden="false" customHeight="false" outlineLevel="0" collapsed="false">
      <c r="A11" s="206" t="s">
        <v>395</v>
      </c>
      <c r="B11" s="216" t="n">
        <v>48</v>
      </c>
      <c r="C11" s="206"/>
      <c r="F11" s="0" t="s">
        <v>396</v>
      </c>
      <c r="G11" s="54" t="n">
        <f aca="false">G10/B13</f>
        <v>44.8382435554033</v>
      </c>
    </row>
    <row r="12" customFormat="false" ht="15" hidden="false" customHeight="false" outlineLevel="0" collapsed="false">
      <c r="A12" s="206" t="s">
        <v>397</v>
      </c>
      <c r="B12" s="217" t="n">
        <f aca="false">B11/B10</f>
        <v>13.1147540983607</v>
      </c>
      <c r="C12" s="206"/>
      <c r="F12" s="0" t="s">
        <v>398</v>
      </c>
      <c r="G12" s="54" t="n">
        <f aca="false">G10/B7</f>
        <v>2.80239022221271</v>
      </c>
    </row>
    <row r="13" customFormat="false" ht="14.25" hidden="false" customHeight="true" outlineLevel="0" collapsed="false">
      <c r="A13" s="206" t="s">
        <v>399</v>
      </c>
      <c r="B13" s="138" t="n">
        <f aca="false">(1/B8)*B7</f>
        <v>19375</v>
      </c>
      <c r="C13" s="206" t="s">
        <v>400</v>
      </c>
    </row>
    <row r="14" customFormat="false" ht="15" hidden="false" customHeight="false" outlineLevel="0" collapsed="false">
      <c r="A14" s="206" t="s">
        <v>68</v>
      </c>
      <c r="B14" s="138" t="n">
        <f aca="false">SUM(E27:E50)/(IF(B9="F",24,16))</f>
        <v>31</v>
      </c>
      <c r="C14" s="206"/>
      <c r="F14" s="0" t="s">
        <v>401</v>
      </c>
      <c r="G14" s="95" t="n">
        <f aca="false">SUM(N27:N50)</f>
        <v>204600</v>
      </c>
    </row>
    <row r="15" customFormat="false" ht="15" hidden="false" customHeight="false" outlineLevel="0" collapsed="false">
      <c r="A15" s="206" t="s">
        <v>402</v>
      </c>
      <c r="B15" s="227" t="n">
        <f aca="false">B13/B14</f>
        <v>625</v>
      </c>
      <c r="C15" s="206"/>
      <c r="F15" s="0" t="s">
        <v>403</v>
      </c>
      <c r="G15" s="95" t="n">
        <f aca="false">(B8-B12)*B13*B10</f>
        <v>204600</v>
      </c>
    </row>
    <row r="16" customFormat="false" ht="15" hidden="false" customHeight="false" outlineLevel="0" collapsed="false">
      <c r="A16" s="206" t="s">
        <v>402</v>
      </c>
      <c r="B16" s="195" t="n">
        <f aca="false">B15/(IF(B9="F",24,16))</f>
        <v>26.0416666666667</v>
      </c>
      <c r="F16" s="0" t="s">
        <v>404</v>
      </c>
    </row>
    <row r="18" customFormat="false" ht="12.75" hidden="false" customHeight="false" outlineLevel="0" collapsed="false">
      <c r="F18" s="146" t="s">
        <v>405</v>
      </c>
      <c r="G18" s="228"/>
    </row>
    <row r="20" customFormat="false" ht="15" hidden="false" customHeight="false" outlineLevel="0" collapsed="false">
      <c r="A20" s="206" t="s">
        <v>315</v>
      </c>
      <c r="B20" s="220" t="n">
        <v>36678</v>
      </c>
      <c r="F20" s="0" t="s">
        <v>406</v>
      </c>
      <c r="G20" s="0" t="n">
        <v>18.8</v>
      </c>
    </row>
    <row r="21" customFormat="false" ht="15" hidden="false" customHeight="false" outlineLevel="0" collapsed="false">
      <c r="A21" s="206" t="s">
        <v>316</v>
      </c>
      <c r="B21" s="220" t="n">
        <v>36678</v>
      </c>
      <c r="F21" s="0" t="s">
        <v>407</v>
      </c>
      <c r="G21" s="229" t="n">
        <v>17.5</v>
      </c>
    </row>
    <row r="22" customFormat="false" ht="15" hidden="false" customHeight="false" outlineLevel="0" collapsed="false">
      <c r="A22" s="206" t="s">
        <v>317</v>
      </c>
      <c r="B22" s="56" t="n">
        <f aca="false">COUNTIF(B27:B50,"&gt;0")</f>
        <v>1</v>
      </c>
      <c r="F22" s="0" t="s">
        <v>408</v>
      </c>
      <c r="G22" s="229" t="n">
        <v>15.7</v>
      </c>
    </row>
    <row r="23" customFormat="false" ht="12.75" hidden="false" customHeight="false" outlineLevel="0" collapsed="false">
      <c r="F23" s="0" t="s">
        <v>409</v>
      </c>
      <c r="G23" s="229" t="n">
        <v>17.96</v>
      </c>
    </row>
    <row r="24" customFormat="false" ht="12.75" hidden="false" customHeight="false" outlineLevel="0" collapsed="false">
      <c r="F24" s="0" t="s">
        <v>410</v>
      </c>
      <c r="G24" s="229" t="n">
        <v>22</v>
      </c>
      <c r="J24" s="0" t="s">
        <v>367</v>
      </c>
    </row>
    <row r="25" customFormat="false" ht="12.75" hidden="false" customHeight="false" outlineLevel="0" collapsed="false">
      <c r="J25" s="0" t="s">
        <v>368</v>
      </c>
      <c r="K25" s="0" t="s">
        <v>411</v>
      </c>
      <c r="L25" s="0" t="s">
        <v>370</v>
      </c>
    </row>
    <row r="26" customFormat="false" ht="12.75" hidden="false" customHeight="false" outlineLevel="0" collapsed="false">
      <c r="A26" s="0" t="s">
        <v>86</v>
      </c>
      <c r="B26" s="0" t="s">
        <v>44</v>
      </c>
      <c r="E26" s="49" t="s">
        <v>102</v>
      </c>
      <c r="F26" s="49" t="s">
        <v>412</v>
      </c>
      <c r="G26" s="49" t="s">
        <v>114</v>
      </c>
      <c r="H26" s="49" t="s">
        <v>413</v>
      </c>
      <c r="J26" s="0" t="s">
        <v>371</v>
      </c>
      <c r="L26" s="0" t="s">
        <v>373</v>
      </c>
      <c r="N26" s="0" t="s">
        <v>374</v>
      </c>
      <c r="O26" s="0" t="s">
        <v>375</v>
      </c>
    </row>
    <row r="27" customFormat="false" ht="12.75" hidden="false" customHeight="false" outlineLevel="0" collapsed="false">
      <c r="A27" s="61" t="n">
        <f aca="false">swap_model!A52</f>
        <v>36526</v>
      </c>
      <c r="B27" s="221" t="n">
        <f aca="false">IF($A27&lt;$B$20,0,IF($A27&gt;$B$21,0,Fwd_curves!H96))</f>
        <v>0</v>
      </c>
      <c r="D27" s="221"/>
      <c r="E27" s="0" t="n">
        <f aca="false">IF($A27&lt;$B$20,0,IF($A27&gt;$B$21,0,IF(ab_gas_deal!$B$9="P",external_curves!AI14,external_curves!AH14)))</f>
        <v>0</v>
      </c>
      <c r="F27" s="138" t="n">
        <f aca="false">$B$6*H27</f>
        <v>0</v>
      </c>
      <c r="G27" s="138" t="n">
        <f aca="false">E27*$B$16</f>
        <v>0</v>
      </c>
      <c r="H27" s="0" t="n">
        <f aca="false">IF($A27&lt;$B$20,0,IF($A27&gt;$B$21,0,IF(ab_gas_deal!$B$9="P",external_curves!X15,external_curves!X15)))</f>
        <v>0</v>
      </c>
      <c r="J27" s="95" t="n">
        <f aca="false">($G$8-((1/($B$8))*$G$9))*F27</f>
        <v>0</v>
      </c>
      <c r="K27" s="95" t="n">
        <f aca="false">F27*($B$10-$G$8)</f>
        <v>0</v>
      </c>
      <c r="L27" s="95" t="n">
        <f aca="false">G27*($G$9-$B$11)</f>
        <v>-0</v>
      </c>
      <c r="M27" s="95"/>
      <c r="N27" s="95" t="n">
        <f aca="false">SUM(J27:L27)</f>
        <v>0</v>
      </c>
      <c r="O27" s="95" t="n">
        <f aca="false">N27*B27</f>
        <v>0</v>
      </c>
    </row>
    <row r="28" customFormat="false" ht="12.75" hidden="false" customHeight="false" outlineLevel="0" collapsed="false">
      <c r="A28" s="61" t="n">
        <f aca="false">swap_model!A53</f>
        <v>36557</v>
      </c>
      <c r="B28" s="221" t="n">
        <f aca="false">IF($A28&lt;$B$20,0,IF($A28&gt;$B$21,0,Fwd_curves!H97))</f>
        <v>0</v>
      </c>
      <c r="C28" s="221"/>
      <c r="D28" s="221"/>
      <c r="E28" s="0" t="n">
        <f aca="false">IF($A28&lt;$B$20,0,IF($A28&gt;$B$21,0,IF(ab_gas_deal!$B$9="P",external_curves!AI15,external_curves!AH15)))</f>
        <v>0</v>
      </c>
      <c r="F28" s="138" t="n">
        <f aca="false">$B$6*H28</f>
        <v>0</v>
      </c>
      <c r="G28" s="138" t="n">
        <f aca="false">E28*$B$16</f>
        <v>0</v>
      </c>
      <c r="H28" s="0" t="n">
        <f aca="false">IF($A28&lt;$B$20,0,IF($A28&gt;$B$21,0,IF(ab_gas_deal!$B$9="P",external_curves!X16,external_curves!X16)))</f>
        <v>0</v>
      </c>
      <c r="J28" s="95" t="n">
        <f aca="false">($G$8-((1/($B$8))*$G$9))*F28</f>
        <v>0</v>
      </c>
      <c r="K28" s="95" t="n">
        <f aca="false">F28*($B$10-$G$8)</f>
        <v>0</v>
      </c>
      <c r="L28" s="95" t="n">
        <f aca="false">G28*($G$9-$B$11)</f>
        <v>-0</v>
      </c>
      <c r="M28" s="95"/>
      <c r="N28" s="95" t="n">
        <f aca="false">SUM(J28:L28)</f>
        <v>0</v>
      </c>
      <c r="O28" s="95" t="n">
        <f aca="false">N28*B28</f>
        <v>0</v>
      </c>
    </row>
    <row r="29" customFormat="false" ht="12.75" hidden="false" customHeight="false" outlineLevel="0" collapsed="false">
      <c r="A29" s="61" t="n">
        <f aca="false">swap_model!A54</f>
        <v>36586</v>
      </c>
      <c r="B29" s="221" t="n">
        <f aca="false">IF($A29&lt;$B$20,0,IF($A29&gt;$B$21,0,Fwd_curves!H98))</f>
        <v>0</v>
      </c>
      <c r="C29" s="221"/>
      <c r="D29" s="221"/>
      <c r="E29" s="0" t="n">
        <f aca="false">IF($A29&lt;$B$20,0,IF($A29&gt;$B$21,0,IF(ab_gas_deal!$B$9="P",external_curves!AI16,external_curves!AH16)))</f>
        <v>0</v>
      </c>
      <c r="F29" s="138" t="n">
        <f aca="false">$B$6*H29</f>
        <v>0</v>
      </c>
      <c r="G29" s="138" t="n">
        <f aca="false">E29*$B$16</f>
        <v>0</v>
      </c>
      <c r="H29" s="0" t="n">
        <f aca="false">IF($A29&lt;$B$20,0,IF($A29&gt;$B$21,0,IF(ab_gas_deal!$B$9="P",#REF!,#REF!)))</f>
        <v>0</v>
      </c>
      <c r="J29" s="95" t="n">
        <f aca="false">($G$8-((1/($B$8))*$G$9))*F29</f>
        <v>0</v>
      </c>
      <c r="K29" s="95" t="n">
        <f aca="false">F29*($B$10-$G$8)</f>
        <v>0</v>
      </c>
      <c r="L29" s="95" t="n">
        <f aca="false">G29*($G$9-$B$11)</f>
        <v>-0</v>
      </c>
      <c r="M29" s="95"/>
      <c r="N29" s="95" t="n">
        <f aca="false">SUM(J29:L29)</f>
        <v>0</v>
      </c>
      <c r="O29" s="95" t="n">
        <f aca="false">N29*B29</f>
        <v>0</v>
      </c>
    </row>
    <row r="30" customFormat="false" ht="12.75" hidden="false" customHeight="false" outlineLevel="0" collapsed="false">
      <c r="A30" s="61" t="n">
        <f aca="false">swap_model!A55</f>
        <v>36617</v>
      </c>
      <c r="B30" s="221" t="n">
        <f aca="false">IF($A30&lt;$B$20,0,IF($A30&gt;$B$21,0,Fwd_curves!H99))</f>
        <v>0</v>
      </c>
      <c r="C30" s="221"/>
      <c r="D30" s="221"/>
      <c r="E30" s="0" t="n">
        <f aca="false">IF($A30&lt;$B$20,0,IF($A30&gt;$B$21,0,IF(ab_gas_deal!$B$9="P",#REF!,#REF!)))</f>
        <v>0</v>
      </c>
      <c r="F30" s="138" t="n">
        <f aca="false">$B$6*H30</f>
        <v>0</v>
      </c>
      <c r="G30" s="138" t="n">
        <f aca="false">E30*$B$16</f>
        <v>0</v>
      </c>
      <c r="H30" s="0" t="n">
        <f aca="false">IF($A30&lt;$B$20,0,IF($A30&gt;$B$21,0,IF(ab_gas_deal!$B$9="P",external_curves!X17,external_curves!X17)))</f>
        <v>0</v>
      </c>
      <c r="J30" s="95" t="n">
        <f aca="false">($G$8-((1/($B$8))*$G$9))*F30</f>
        <v>0</v>
      </c>
      <c r="K30" s="95" t="n">
        <f aca="false">F30*($B$10-$G$8)</f>
        <v>0</v>
      </c>
      <c r="L30" s="95" t="n">
        <f aca="false">G30*($G$9-$B$11)</f>
        <v>-0</v>
      </c>
      <c r="M30" s="95"/>
      <c r="N30" s="95" t="n">
        <f aca="false">SUM(J30:L30)</f>
        <v>0</v>
      </c>
      <c r="O30" s="95" t="n">
        <f aca="false">N30*B30</f>
        <v>0</v>
      </c>
    </row>
    <row r="31" customFormat="false" ht="12.75" hidden="false" customHeight="false" outlineLevel="0" collapsed="false">
      <c r="A31" s="61" t="n">
        <f aca="false">swap_model!A56</f>
        <v>36647</v>
      </c>
      <c r="B31" s="221" t="n">
        <f aca="false">IF($A31&lt;$B$20,0,IF($A31&gt;$B$21,0,Fwd_curves!H100))</f>
        <v>0</v>
      </c>
      <c r="C31" s="221"/>
      <c r="D31" s="221"/>
      <c r="E31" s="0" t="n">
        <f aca="false">IF($A31&lt;$B$20,0,IF($A31&gt;$B$21,0,IF(ab_gas_deal!$B$9="P",external_curves!AI17,external_curves!AH17)))</f>
        <v>0</v>
      </c>
      <c r="F31" s="138" t="n">
        <f aca="false">$B$6*H31</f>
        <v>0</v>
      </c>
      <c r="G31" s="138" t="n">
        <f aca="false">E31*$B$16</f>
        <v>0</v>
      </c>
      <c r="H31" s="0" t="n">
        <f aca="false">IF($A31&lt;$B$20,0,IF($A31&gt;$B$21,0,IF(ab_gas_deal!$B$9="P",external_curves!X17,external_curves!X17)))</f>
        <v>0</v>
      </c>
      <c r="J31" s="95" t="n">
        <f aca="false">($G$8-((1/($B$8))*$G$9))*F31</f>
        <v>0</v>
      </c>
      <c r="K31" s="95" t="n">
        <f aca="false">F31*($B$10-$G$8)</f>
        <v>0</v>
      </c>
      <c r="L31" s="95" t="n">
        <f aca="false">G31*($G$9-$B$11)</f>
        <v>-0</v>
      </c>
      <c r="M31" s="95"/>
      <c r="N31" s="95" t="n">
        <f aca="false">SUM(J31:L31)</f>
        <v>0</v>
      </c>
      <c r="O31" s="95" t="n">
        <f aca="false">N31*B31</f>
        <v>0</v>
      </c>
    </row>
    <row r="32" customFormat="false" ht="12.75" hidden="false" customHeight="false" outlineLevel="0" collapsed="false">
      <c r="A32" s="61" t="n">
        <f aca="false">swap_model!A57</f>
        <v>36678</v>
      </c>
      <c r="B32" s="221" t="n">
        <f aca="false">IF($A32&lt;$B$20,0,IF($A32&gt;$B$21,0,Fwd_curves!H101))</f>
        <v>4.24604579123137</v>
      </c>
      <c r="C32" s="221"/>
      <c r="D32" s="221"/>
      <c r="E32" s="0" t="n">
        <f aca="false">IF($A32&lt;$B$20,0,IF($A32&gt;$B$21,0,IF(ab_gas_deal!$B$9="P",external_curves!AI18,external_curves!AH18)))</f>
        <v>744</v>
      </c>
      <c r="F32" s="138" t="n">
        <f aca="false">$B$6*H32</f>
        <v>310000</v>
      </c>
      <c r="G32" s="138" t="n">
        <f aca="false">E32*$B$16</f>
        <v>19375</v>
      </c>
      <c r="H32" s="0" t="n">
        <f aca="false">IF($A32&lt;$B$20,0,IF($A32&gt;$B$21,0,IF(ab_gas_deal!$B$9="P",external_curves!X18,external_curves!X18)))</f>
        <v>31</v>
      </c>
      <c r="J32" s="95" t="n">
        <f aca="false">($G$8-((1/($B$8))*$G$9))*F32</f>
        <v>143375</v>
      </c>
      <c r="K32" s="95" t="n">
        <f aca="false">F32*($B$10-$G$8)</f>
        <v>235600</v>
      </c>
      <c r="L32" s="95" t="n">
        <f aca="false">G32*($G$9-$B$11)</f>
        <v>-174375</v>
      </c>
      <c r="M32" s="95"/>
      <c r="N32" s="95" t="n">
        <f aca="false">SUM(J32:L32)</f>
        <v>204600</v>
      </c>
      <c r="O32" s="95" t="n">
        <f aca="false">N32*B32</f>
        <v>868740.968885939</v>
      </c>
    </row>
    <row r="33" customFormat="false" ht="12.75" hidden="false" customHeight="false" outlineLevel="0" collapsed="false">
      <c r="A33" s="61" t="n">
        <f aca="false">swap_model!A58</f>
        <v>36708</v>
      </c>
      <c r="B33" s="221" t="n">
        <f aca="false">IF($A33&lt;$B$20,0,IF($A33&gt;$B$21,0,Fwd_curves!H102))</f>
        <v>0</v>
      </c>
      <c r="C33" s="221"/>
      <c r="D33" s="221"/>
      <c r="E33" s="0" t="n">
        <f aca="false">IF($A33&lt;$B$20,0,IF($A33&gt;$B$21,0,IF(ab_gas_deal!$B$9="P",external_curves!AI19,external_curves!AH19)))</f>
        <v>0</v>
      </c>
      <c r="F33" s="138" t="n">
        <f aca="false">$B$6*H33</f>
        <v>0</v>
      </c>
      <c r="G33" s="138" t="n">
        <f aca="false">E33*$B$16</f>
        <v>0</v>
      </c>
      <c r="H33" s="0" t="n">
        <f aca="false">IF($A33&lt;$B$20,0,IF($A33&gt;$B$21,0,IF(ab_gas_deal!$B$9="P",external_curves!X19,external_curves!X19)))</f>
        <v>0</v>
      </c>
      <c r="J33" s="95" t="n">
        <f aca="false">($G$8-((1/($B$8))*$G$9))*F33</f>
        <v>0</v>
      </c>
      <c r="K33" s="95" t="n">
        <f aca="false">F33*($B$10-$G$8)</f>
        <v>0</v>
      </c>
      <c r="L33" s="95" t="n">
        <f aca="false">G33*($G$9-$B$11)</f>
        <v>-0</v>
      </c>
      <c r="M33" s="95"/>
      <c r="N33" s="95" t="n">
        <f aca="false">SUM(J33:L33)</f>
        <v>0</v>
      </c>
      <c r="O33" s="95" t="n">
        <f aca="false">N33*B33</f>
        <v>0</v>
      </c>
    </row>
    <row r="34" customFormat="false" ht="12.75" hidden="false" customHeight="false" outlineLevel="0" collapsed="false">
      <c r="A34" s="61" t="n">
        <f aca="false">swap_model!A59</f>
        <v>36739</v>
      </c>
      <c r="B34" s="221" t="n">
        <f aca="false">IF($A34&lt;$B$20,0,IF($A34&gt;$B$21,0,Fwd_curves!H103))</f>
        <v>0</v>
      </c>
      <c r="C34" s="221"/>
      <c r="D34" s="221"/>
      <c r="E34" s="0" t="n">
        <f aca="false">IF($A34&lt;$B$20,0,IF($A34&gt;$B$21,0,IF(ab_gas_deal!$B$9="P",external_curves!AI20,external_curves!AH20)))</f>
        <v>0</v>
      </c>
      <c r="F34" s="138" t="n">
        <f aca="false">$B$6*H34</f>
        <v>0</v>
      </c>
      <c r="G34" s="138" t="n">
        <f aca="false">E34*$B$16</f>
        <v>0</v>
      </c>
      <c r="H34" s="0" t="n">
        <f aca="false">IF($A34&lt;$B$20,0,IF($A34&gt;$B$21,0,IF(ab_gas_deal!$B$9="P",external_curves!X20,external_curves!X20)))</f>
        <v>0</v>
      </c>
      <c r="J34" s="95" t="n">
        <f aca="false">($G$8-((1/($B$8))*$G$9))*F34</f>
        <v>0</v>
      </c>
      <c r="K34" s="95" t="n">
        <f aca="false">F34*($B$10-$G$8)</f>
        <v>0</v>
      </c>
      <c r="L34" s="95" t="n">
        <f aca="false">G34*($G$9-$B$11)</f>
        <v>-0</v>
      </c>
      <c r="M34" s="95"/>
      <c r="N34" s="95" t="n">
        <f aca="false">SUM(J34:L34)</f>
        <v>0</v>
      </c>
      <c r="O34" s="95" t="n">
        <f aca="false">N34*B34</f>
        <v>0</v>
      </c>
    </row>
    <row r="35" customFormat="false" ht="12.75" hidden="false" customHeight="false" outlineLevel="0" collapsed="false">
      <c r="A35" s="61" t="n">
        <f aca="false">swap_model!A60</f>
        <v>36770</v>
      </c>
      <c r="B35" s="221" t="n">
        <f aca="false">IF($A35&lt;$B$20,0,IF($A35&gt;$B$21,0,Fwd_curves!H104))</f>
        <v>0</v>
      </c>
      <c r="C35" s="221"/>
      <c r="D35" s="221"/>
      <c r="E35" s="0" t="n">
        <f aca="false">IF($A35&lt;$B$20,0,IF($A35&gt;$B$21,0,IF(ab_gas_deal!$B$9="P",external_curves!AI21,external_curves!AH21)))</f>
        <v>0</v>
      </c>
      <c r="F35" s="138" t="n">
        <f aca="false">$B$6*H35</f>
        <v>0</v>
      </c>
      <c r="G35" s="138" t="n">
        <f aca="false">E35*$B$16</f>
        <v>0</v>
      </c>
      <c r="H35" s="0" t="n">
        <f aca="false">IF($A35&lt;$B$20,0,IF($A35&gt;$B$21,0,IF(ab_gas_deal!$B$9="P",external_curves!X21,external_curves!X21)))</f>
        <v>0</v>
      </c>
      <c r="J35" s="95" t="n">
        <f aca="false">($G$8-((1/($B$8))*$G$9))*F35</f>
        <v>0</v>
      </c>
      <c r="K35" s="95" t="n">
        <f aca="false">F35*($B$10-$G$8)</f>
        <v>0</v>
      </c>
      <c r="L35" s="95" t="n">
        <f aca="false">G35*($G$9-$B$11)</f>
        <v>-0</v>
      </c>
      <c r="M35" s="95"/>
      <c r="N35" s="95" t="n">
        <f aca="false">SUM(J35:L35)</f>
        <v>0</v>
      </c>
      <c r="O35" s="95" t="n">
        <f aca="false">N35*B35</f>
        <v>0</v>
      </c>
    </row>
    <row r="36" customFormat="false" ht="12.75" hidden="false" customHeight="false" outlineLevel="0" collapsed="false">
      <c r="A36" s="61" t="n">
        <f aca="false">swap_model!A61</f>
        <v>36800</v>
      </c>
      <c r="B36" s="221" t="n">
        <f aca="false">IF($A36&lt;$B$20,0,IF($A36&gt;$B$21,0,Fwd_curves!H105))</f>
        <v>0</v>
      </c>
      <c r="C36" s="221"/>
      <c r="D36" s="221"/>
      <c r="E36" s="0" t="n">
        <f aca="false">IF($A36&lt;$B$20,0,IF($A36&gt;$B$21,0,IF(ab_gas_deal!$B$9="P",external_curves!AI22,external_curves!AH22)))</f>
        <v>0</v>
      </c>
      <c r="F36" s="138" t="n">
        <f aca="false">$B$6*H36</f>
        <v>0</v>
      </c>
      <c r="G36" s="138" t="n">
        <f aca="false">E36*$B$16</f>
        <v>0</v>
      </c>
      <c r="H36" s="0" t="n">
        <f aca="false">IF($A36&lt;$B$20,0,IF($A36&gt;$B$21,0,IF(ab_gas_deal!$B$9="P",external_curves!X22,external_curves!X22)))</f>
        <v>0</v>
      </c>
      <c r="J36" s="95" t="n">
        <f aca="false">($G$8-((1/($B$8))*$G$9))*F36</f>
        <v>0</v>
      </c>
      <c r="K36" s="95" t="n">
        <f aca="false">F36*($B$10-$G$8)</f>
        <v>0</v>
      </c>
      <c r="L36" s="95" t="n">
        <f aca="false">G36*($G$9-$B$11)</f>
        <v>-0</v>
      </c>
      <c r="M36" s="95"/>
      <c r="N36" s="95" t="n">
        <f aca="false">SUM(J36:L36)</f>
        <v>0</v>
      </c>
      <c r="O36" s="95" t="n">
        <f aca="false">N36*B36</f>
        <v>0</v>
      </c>
    </row>
    <row r="37" customFormat="false" ht="12.75" hidden="false" customHeight="false" outlineLevel="0" collapsed="false">
      <c r="A37" s="61" t="n">
        <f aca="false">swap_model!A62</f>
        <v>36831</v>
      </c>
      <c r="B37" s="221" t="n">
        <f aca="false">IF($A37&lt;$B$20,0,IF($A37&gt;$B$21,0,Fwd_curves!H106))</f>
        <v>0</v>
      </c>
      <c r="C37" s="221"/>
      <c r="D37" s="221"/>
      <c r="E37" s="0" t="n">
        <f aca="false">IF($A37&lt;$B$20,0,IF($A37&gt;$B$21,0,IF(ab_gas_deal!$B$9="P",external_curves!AI23,external_curves!AH23)))</f>
        <v>0</v>
      </c>
      <c r="F37" s="138" t="n">
        <f aca="false">$B$6*H37</f>
        <v>0</v>
      </c>
      <c r="G37" s="138" t="n">
        <f aca="false">E37*$B$16</f>
        <v>0</v>
      </c>
      <c r="H37" s="0" t="n">
        <f aca="false">IF($A37&lt;$B$20,0,IF($A37&gt;$B$21,0,IF(ab_gas_deal!$B$9="P",external_curves!X23,external_curves!X23)))</f>
        <v>0</v>
      </c>
      <c r="J37" s="95" t="n">
        <f aca="false">($G$8-((1/($B$8))*$G$9))*F37</f>
        <v>0</v>
      </c>
      <c r="K37" s="95" t="n">
        <f aca="false">F37*($B$10-$G$8)</f>
        <v>0</v>
      </c>
      <c r="L37" s="95" t="n">
        <f aca="false">G37*($G$9-$B$11)</f>
        <v>-0</v>
      </c>
      <c r="M37" s="95"/>
      <c r="N37" s="95" t="n">
        <f aca="false">SUM(J37:L37)</f>
        <v>0</v>
      </c>
      <c r="O37" s="95" t="n">
        <f aca="false">N37*B37</f>
        <v>0</v>
      </c>
    </row>
    <row r="38" customFormat="false" ht="12.75" hidden="false" customHeight="false" outlineLevel="0" collapsed="false">
      <c r="A38" s="61" t="n">
        <f aca="false">swap_model!A63</f>
        <v>36861</v>
      </c>
      <c r="B38" s="221" t="n">
        <f aca="false">IF($A38&lt;$B$20,0,IF($A38&gt;$B$21,0,Fwd_curves!H107))</f>
        <v>0</v>
      </c>
      <c r="C38" s="221"/>
      <c r="D38" s="221"/>
      <c r="E38" s="0" t="n">
        <f aca="false">IF($A38&lt;$B$20,0,IF($A38&gt;$B$21,0,IF(ab_gas_deal!$B$9="P",external_curves!AI24,external_curves!AH24)))</f>
        <v>0</v>
      </c>
      <c r="F38" s="138" t="n">
        <f aca="false">$B$6*H38</f>
        <v>0</v>
      </c>
      <c r="G38" s="138" t="n">
        <f aca="false">E38*$B$16</f>
        <v>0</v>
      </c>
      <c r="H38" s="0" t="n">
        <f aca="false">IF($A38&lt;$B$20,0,IF($A38&gt;$B$21,0,IF(ab_gas_deal!$B$9="P",external_curves!X24,external_curves!X24)))</f>
        <v>0</v>
      </c>
      <c r="J38" s="95" t="n">
        <f aca="false">($G$8-((1/($B$8))*$G$9))*F38</f>
        <v>0</v>
      </c>
      <c r="K38" s="95" t="n">
        <f aca="false">F38*($B$10-$G$8)</f>
        <v>0</v>
      </c>
      <c r="L38" s="95" t="n">
        <f aca="false">G38*($G$9-$B$11)</f>
        <v>-0</v>
      </c>
      <c r="M38" s="95"/>
      <c r="N38" s="95" t="n">
        <f aca="false">SUM(J38:L38)</f>
        <v>0</v>
      </c>
      <c r="O38" s="95" t="n">
        <f aca="false">N38*B38</f>
        <v>0</v>
      </c>
    </row>
    <row r="39" customFormat="false" ht="12.75" hidden="false" customHeight="false" outlineLevel="0" collapsed="false">
      <c r="A39" s="61" t="n">
        <f aca="false">swap_model!A64</f>
        <v>36892</v>
      </c>
      <c r="B39" s="221" t="n">
        <f aca="false">IF($A39&lt;$B$20,0,IF($A39&gt;$B$21,0,Fwd_curves!H108))</f>
        <v>0</v>
      </c>
      <c r="C39" s="221"/>
      <c r="D39" s="221"/>
      <c r="E39" s="0" t="n">
        <f aca="false">IF($A39&lt;$B$20,0,IF($A39&gt;$B$21,0,IF(ab_gas_deal!$B$9="P",external_curves!AI25,external_curves!AH25)))</f>
        <v>0</v>
      </c>
      <c r="F39" s="138" t="n">
        <f aca="false">$B$6*H39</f>
        <v>0</v>
      </c>
      <c r="G39" s="138" t="n">
        <f aca="false">E39*$B$16</f>
        <v>0</v>
      </c>
      <c r="H39" s="0" t="n">
        <f aca="false">IF($A39&lt;$B$20,0,IF($A39&gt;$B$21,0,IF(ab_gas_deal!$B$9="P",external_curves!X25,external_curves!X25)))</f>
        <v>0</v>
      </c>
      <c r="J39" s="95" t="n">
        <f aca="false">($G$8-((1/($B$8))*$G$9))*F39</f>
        <v>0</v>
      </c>
      <c r="K39" s="95" t="n">
        <f aca="false">F39*($B$10-$G$8)</f>
        <v>0</v>
      </c>
      <c r="L39" s="95" t="n">
        <f aca="false">G39*($G$9-$B$11)</f>
        <v>-0</v>
      </c>
      <c r="M39" s="95"/>
      <c r="N39" s="95" t="n">
        <f aca="false">SUM(J39:L39)</f>
        <v>0</v>
      </c>
      <c r="O39" s="95" t="n">
        <f aca="false">N39*B39</f>
        <v>0</v>
      </c>
    </row>
    <row r="40" customFormat="false" ht="12.75" hidden="false" customHeight="false" outlineLevel="0" collapsed="false">
      <c r="A40" s="61" t="n">
        <f aca="false">swap_model!A65</f>
        <v>36923</v>
      </c>
      <c r="B40" s="221" t="n">
        <f aca="false">IF($A40&lt;$B$20,0,IF($A40&gt;$B$21,0,Fwd_curves!H109))</f>
        <v>0</v>
      </c>
      <c r="C40" s="221"/>
      <c r="D40" s="221"/>
      <c r="E40" s="0" t="n">
        <f aca="false">IF($A40&lt;$B$20,0,IF($A40&gt;$B$21,0,IF(ab_gas_deal!$B$9="P",external_curves!AI26,external_curves!AH26)))</f>
        <v>0</v>
      </c>
      <c r="F40" s="138" t="n">
        <f aca="false">$B$6*H40</f>
        <v>0</v>
      </c>
      <c r="G40" s="138" t="n">
        <f aca="false">E40*$B$16</f>
        <v>0</v>
      </c>
      <c r="H40" s="0" t="n">
        <f aca="false">IF($A40&lt;$B$20,0,IF($A40&gt;$B$21,0,IF(ab_gas_deal!$B$9="P",external_curves!X26,external_curves!X26)))</f>
        <v>0</v>
      </c>
      <c r="J40" s="95" t="n">
        <f aca="false">($G$8-((1/($B$8))*$G$9))*F40</f>
        <v>0</v>
      </c>
      <c r="K40" s="95" t="n">
        <f aca="false">F40*($B$10-$G$8)</f>
        <v>0</v>
      </c>
      <c r="L40" s="95" t="n">
        <f aca="false">G40*($G$9-$B$11)</f>
        <v>-0</v>
      </c>
      <c r="M40" s="95"/>
      <c r="N40" s="95" t="n">
        <f aca="false">SUM(J40:L40)</f>
        <v>0</v>
      </c>
      <c r="O40" s="95" t="n">
        <f aca="false">N40*B40</f>
        <v>0</v>
      </c>
    </row>
    <row r="41" customFormat="false" ht="12.75" hidden="false" customHeight="false" outlineLevel="0" collapsed="false">
      <c r="A41" s="61" t="n">
        <f aca="false">swap_model!A66</f>
        <v>36951</v>
      </c>
      <c r="B41" s="221" t="n">
        <f aca="false">IF($A41&lt;$B$20,0,IF($A41&gt;$B$21,0,Fwd_curves!H110))</f>
        <v>0</v>
      </c>
      <c r="C41" s="221"/>
      <c r="D41" s="221"/>
      <c r="E41" s="0" t="n">
        <f aca="false">IF($A41&lt;$B$20,0,IF($A41&gt;$B$21,0,IF(ab_gas_deal!$B$9="P",external_curves!AI27,external_curves!AH27)))</f>
        <v>0</v>
      </c>
      <c r="F41" s="138" t="n">
        <f aca="false">$B$6*H41</f>
        <v>0</v>
      </c>
      <c r="G41" s="138" t="n">
        <f aca="false">E41*$B$16</f>
        <v>0</v>
      </c>
      <c r="H41" s="0" t="n">
        <f aca="false">IF($A41&lt;$B$20,0,IF($A41&gt;$B$21,0,IF(ab_gas_deal!$B$9="P",external_curves!X27,external_curves!X27)))</f>
        <v>0</v>
      </c>
      <c r="J41" s="95" t="n">
        <f aca="false">($G$8-((1/($B$8))*$G$9))*F41</f>
        <v>0</v>
      </c>
      <c r="K41" s="95" t="n">
        <f aca="false">F41*($B$10-$G$8)</f>
        <v>0</v>
      </c>
      <c r="L41" s="95" t="n">
        <f aca="false">G41*($G$9-$B$11)</f>
        <v>-0</v>
      </c>
      <c r="M41" s="95"/>
      <c r="N41" s="95" t="n">
        <f aca="false">SUM(J41:L41)</f>
        <v>0</v>
      </c>
      <c r="O41" s="95" t="n">
        <f aca="false">N41*B41</f>
        <v>0</v>
      </c>
    </row>
    <row r="42" customFormat="false" ht="12.75" hidden="false" customHeight="false" outlineLevel="0" collapsed="false">
      <c r="A42" s="61" t="n">
        <f aca="false">swap_model!A67</f>
        <v>36982</v>
      </c>
      <c r="B42" s="221" t="n">
        <f aca="false">IF($A42&lt;$B$20,0,IF($A42&gt;$B$21,0,Fwd_curves!H111))</f>
        <v>0</v>
      </c>
      <c r="C42" s="221"/>
      <c r="D42" s="221"/>
      <c r="E42" s="0" t="n">
        <f aca="false">IF($A42&lt;$B$20,0,IF($A42&gt;$B$21,0,IF(ab_gas_deal!$B$9="P",external_curves!AI28,external_curves!AH28)))</f>
        <v>0</v>
      </c>
      <c r="F42" s="138" t="n">
        <f aca="false">$B$6*H42</f>
        <v>0</v>
      </c>
      <c r="G42" s="138" t="n">
        <f aca="false">E42*$B$16</f>
        <v>0</v>
      </c>
      <c r="H42" s="0" t="n">
        <f aca="false">IF($A42&lt;$B$20,0,IF($A42&gt;$B$21,0,IF(ab_gas_deal!$B$9="P",external_curves!X28,external_curves!X28)))</f>
        <v>0</v>
      </c>
      <c r="J42" s="95" t="n">
        <f aca="false">($G$8-((1/($B$8))*$G$9))*F42</f>
        <v>0</v>
      </c>
      <c r="K42" s="95" t="n">
        <f aca="false">F42*($B$10-$G$8)</f>
        <v>0</v>
      </c>
      <c r="L42" s="95" t="n">
        <f aca="false">G42*($G$9-$B$11)</f>
        <v>-0</v>
      </c>
      <c r="M42" s="95"/>
      <c r="N42" s="95" t="n">
        <f aca="false">SUM(J42:L42)</f>
        <v>0</v>
      </c>
      <c r="O42" s="95" t="n">
        <f aca="false">N42*B42</f>
        <v>0</v>
      </c>
    </row>
    <row r="43" customFormat="false" ht="12.75" hidden="false" customHeight="false" outlineLevel="0" collapsed="false">
      <c r="A43" s="61" t="n">
        <f aca="false">swap_model!A68</f>
        <v>37012</v>
      </c>
      <c r="B43" s="221" t="n">
        <f aca="false">IF($A43&lt;$B$20,0,IF($A43&gt;$B$21,0,Fwd_curves!H112))</f>
        <v>0</v>
      </c>
      <c r="C43" s="221"/>
      <c r="D43" s="221"/>
      <c r="E43" s="0" t="n">
        <f aca="false">IF($A43&lt;$B$20,0,IF($A43&gt;$B$21,0,IF(ab_gas_deal!$B$9="P",external_curves!AI29,external_curves!AH29)))</f>
        <v>0</v>
      </c>
      <c r="F43" s="138" t="n">
        <f aca="false">$B$6*H43</f>
        <v>0</v>
      </c>
      <c r="G43" s="138" t="n">
        <f aca="false">E43*$B$16</f>
        <v>0</v>
      </c>
      <c r="H43" s="0" t="n">
        <f aca="false">IF($A43&lt;$B$20,0,IF($A43&gt;$B$21,0,IF(ab_gas_deal!$B$9="P",external_curves!X29,external_curves!X29)))</f>
        <v>0</v>
      </c>
      <c r="J43" s="95" t="n">
        <f aca="false">($G$8-((1/($B$8))*$G$9))*F43</f>
        <v>0</v>
      </c>
      <c r="K43" s="95" t="n">
        <f aca="false">F43*($B$10-$G$8)</f>
        <v>0</v>
      </c>
      <c r="L43" s="95" t="n">
        <f aca="false">G43*($G$9-$B$11)</f>
        <v>-0</v>
      </c>
      <c r="M43" s="95"/>
      <c r="N43" s="95" t="n">
        <f aca="false">SUM(J43:L43)</f>
        <v>0</v>
      </c>
      <c r="O43" s="95" t="n">
        <f aca="false">N43*B43</f>
        <v>0</v>
      </c>
    </row>
    <row r="44" customFormat="false" ht="12.75" hidden="false" customHeight="false" outlineLevel="0" collapsed="false">
      <c r="A44" s="61" t="n">
        <f aca="false">swap_model!A69</f>
        <v>37043</v>
      </c>
      <c r="B44" s="221" t="n">
        <f aca="false">IF($A44&lt;$B$20,0,IF($A44&gt;$B$21,0,Fwd_curves!H113))</f>
        <v>0</v>
      </c>
      <c r="C44" s="221"/>
      <c r="D44" s="221"/>
      <c r="E44" s="0" t="n">
        <f aca="false">IF($A44&lt;$B$20,0,IF($A44&gt;$B$21,0,IF(ab_gas_deal!$B$9="P",external_curves!AI30,external_curves!AH30)))</f>
        <v>0</v>
      </c>
      <c r="F44" s="138" t="n">
        <f aca="false">$B$6*H44</f>
        <v>0</v>
      </c>
      <c r="G44" s="138" t="n">
        <f aca="false">E44*$B$16</f>
        <v>0</v>
      </c>
      <c r="H44" s="0" t="n">
        <f aca="false">IF($A44&lt;$B$20,0,IF($A44&gt;$B$21,0,IF(ab_gas_deal!$B$9="P",external_curves!X30,external_curves!X30)))</f>
        <v>0</v>
      </c>
      <c r="J44" s="95" t="n">
        <f aca="false">($G$8-((1/($B$8))*$G$9))*F44</f>
        <v>0</v>
      </c>
      <c r="K44" s="95" t="n">
        <f aca="false">F44*($B$10-$G$8)</f>
        <v>0</v>
      </c>
      <c r="L44" s="95" t="n">
        <f aca="false">G44*($G$9-$B$11)</f>
        <v>-0</v>
      </c>
      <c r="M44" s="95"/>
      <c r="N44" s="95" t="n">
        <f aca="false">SUM(J44:L44)</f>
        <v>0</v>
      </c>
      <c r="O44" s="95" t="n">
        <f aca="false">N44*B44</f>
        <v>0</v>
      </c>
    </row>
    <row r="45" customFormat="false" ht="12.75" hidden="false" customHeight="false" outlineLevel="0" collapsed="false">
      <c r="A45" s="61" t="n">
        <f aca="false">swap_model!A70</f>
        <v>37073</v>
      </c>
      <c r="B45" s="221" t="n">
        <f aca="false">IF($A45&lt;$B$20,0,IF($A45&gt;$B$21,0,Fwd_curves!H114))</f>
        <v>0</v>
      </c>
      <c r="C45" s="221"/>
      <c r="D45" s="221"/>
      <c r="E45" s="0" t="n">
        <f aca="false">IF($A45&lt;$B$20,0,IF($A45&gt;$B$21,0,IF(ab_gas_deal!$B$9="P",external_curves!AI31,external_curves!AH31)))</f>
        <v>0</v>
      </c>
      <c r="F45" s="138" t="n">
        <f aca="false">$B$6*H45</f>
        <v>0</v>
      </c>
      <c r="G45" s="138" t="n">
        <f aca="false">E45*$B$16</f>
        <v>0</v>
      </c>
      <c r="H45" s="0" t="n">
        <f aca="false">IF($A45&lt;$B$20,0,IF($A45&gt;$B$21,0,IF(ab_gas_deal!$B$9="P",external_curves!X31,external_curves!X31)))</f>
        <v>0</v>
      </c>
      <c r="J45" s="95" t="n">
        <f aca="false">($G$8-((1/($B$8))*$G$9))*F45</f>
        <v>0</v>
      </c>
      <c r="K45" s="95" t="n">
        <f aca="false">F45*($B$10-$G$8)</f>
        <v>0</v>
      </c>
      <c r="L45" s="95" t="n">
        <f aca="false">G45*($G$9-$B$11)</f>
        <v>-0</v>
      </c>
      <c r="M45" s="95"/>
      <c r="N45" s="95" t="n">
        <f aca="false">SUM(J45:L45)</f>
        <v>0</v>
      </c>
      <c r="O45" s="95" t="n">
        <f aca="false">N45*B45</f>
        <v>0</v>
      </c>
    </row>
    <row r="46" customFormat="false" ht="12.75" hidden="false" customHeight="false" outlineLevel="0" collapsed="false">
      <c r="A46" s="61" t="n">
        <f aca="false">swap_model!A71</f>
        <v>37104</v>
      </c>
      <c r="B46" s="221" t="n">
        <f aca="false">IF($A46&lt;$B$20,0,IF($A46&gt;$B$21,0,Fwd_curves!H115))</f>
        <v>0</v>
      </c>
      <c r="C46" s="221"/>
      <c r="D46" s="221"/>
      <c r="E46" s="0" t="n">
        <f aca="false">IF($A46&lt;$B$20,0,IF($A46&gt;$B$21,0,IF(ab_gas_deal!$B$9="P",external_curves!AI32,external_curves!AH32)))</f>
        <v>0</v>
      </c>
      <c r="F46" s="138" t="n">
        <f aca="false">$B$6*H46</f>
        <v>0</v>
      </c>
      <c r="G46" s="138" t="n">
        <f aca="false">E46*$B$16</f>
        <v>0</v>
      </c>
      <c r="H46" s="0" t="n">
        <f aca="false">IF($A46&lt;$B$20,0,IF($A46&gt;$B$21,0,IF(ab_gas_deal!$B$9="P",external_curves!X32,external_curves!X32)))</f>
        <v>0</v>
      </c>
      <c r="J46" s="95" t="n">
        <f aca="false">($G$8-((1/($B$8))*$G$9))*F46</f>
        <v>0</v>
      </c>
      <c r="K46" s="95" t="n">
        <f aca="false">F46*($B$10-$G$8)</f>
        <v>0</v>
      </c>
      <c r="L46" s="95" t="n">
        <f aca="false">G46*($G$9-$B$11)</f>
        <v>-0</v>
      </c>
      <c r="M46" s="95"/>
      <c r="N46" s="95" t="n">
        <f aca="false">SUM(J46:L46)</f>
        <v>0</v>
      </c>
      <c r="O46" s="95" t="n">
        <f aca="false">N46*B46</f>
        <v>0</v>
      </c>
    </row>
    <row r="47" customFormat="false" ht="12.75" hidden="false" customHeight="false" outlineLevel="0" collapsed="false">
      <c r="A47" s="61" t="n">
        <f aca="false">swap_model!A72</f>
        <v>37135</v>
      </c>
      <c r="B47" s="221" t="n">
        <f aca="false">IF($A47&lt;$B$20,0,IF($A47&gt;$B$21,0,Fwd_curves!H116))</f>
        <v>0</v>
      </c>
      <c r="C47" s="221"/>
      <c r="D47" s="221"/>
      <c r="E47" s="0" t="n">
        <f aca="false">IF($A47&lt;$B$20,0,IF($A47&gt;$B$21,0,IF(ab_gas_deal!$B$9="P",external_curves!AI33,external_curves!AH33)))</f>
        <v>0</v>
      </c>
      <c r="F47" s="138" t="n">
        <f aca="false">$B$6*H47</f>
        <v>0</v>
      </c>
      <c r="G47" s="138" t="n">
        <f aca="false">E47*$B$16</f>
        <v>0</v>
      </c>
      <c r="H47" s="0" t="n">
        <f aca="false">IF($A47&lt;$B$20,0,IF($A47&gt;$B$21,0,IF(ab_gas_deal!$B$9="P",external_curves!X33,external_curves!X33)))</f>
        <v>0</v>
      </c>
      <c r="J47" s="95" t="n">
        <f aca="false">($G$8-((1/($B$8))*$G$9))*F47</f>
        <v>0</v>
      </c>
      <c r="K47" s="95" t="n">
        <f aca="false">F47*($B$10-$G$8)</f>
        <v>0</v>
      </c>
      <c r="L47" s="95" t="n">
        <f aca="false">G47*($G$9-$B$11)</f>
        <v>-0</v>
      </c>
      <c r="M47" s="95"/>
      <c r="N47" s="95" t="n">
        <f aca="false">SUM(J47:L47)</f>
        <v>0</v>
      </c>
      <c r="O47" s="95" t="n">
        <f aca="false">N47*B47</f>
        <v>0</v>
      </c>
    </row>
    <row r="48" customFormat="false" ht="12.75" hidden="false" customHeight="false" outlineLevel="0" collapsed="false">
      <c r="A48" s="61" t="n">
        <f aca="false">swap_model!A73</f>
        <v>37165</v>
      </c>
      <c r="B48" s="221" t="n">
        <f aca="false">IF($A48&lt;$B$20,0,IF($A48&gt;$B$21,0,Fwd_curves!H117))</f>
        <v>0</v>
      </c>
      <c r="C48" s="221"/>
      <c r="D48" s="221"/>
      <c r="E48" s="0" t="n">
        <f aca="false">IF($A48&lt;$B$20,0,IF($A48&gt;$B$21,0,IF(ab_gas_deal!$B$9="P",external_curves!AI34,external_curves!AH34)))</f>
        <v>0</v>
      </c>
      <c r="F48" s="138" t="n">
        <f aca="false">$B$6*H48</f>
        <v>0</v>
      </c>
      <c r="G48" s="138" t="n">
        <f aca="false">E48*$B$16</f>
        <v>0</v>
      </c>
      <c r="H48" s="0" t="n">
        <f aca="false">IF($A48&lt;$B$20,0,IF($A48&gt;$B$21,0,IF(ab_gas_deal!$B$9="P",external_curves!X34,external_curves!X34)))</f>
        <v>0</v>
      </c>
      <c r="J48" s="95" t="n">
        <f aca="false">($G$8-((1/($B$8))*$G$9))*F48</f>
        <v>0</v>
      </c>
      <c r="K48" s="95" t="n">
        <f aca="false">F48*($B$10-$G$8)</f>
        <v>0</v>
      </c>
      <c r="L48" s="95" t="n">
        <f aca="false">G48*($G$9-$B$11)</f>
        <v>-0</v>
      </c>
      <c r="M48" s="95"/>
      <c r="N48" s="95" t="n">
        <f aca="false">SUM(J48:L48)</f>
        <v>0</v>
      </c>
      <c r="O48" s="95" t="n">
        <f aca="false">N48*B48</f>
        <v>0</v>
      </c>
    </row>
    <row r="49" customFormat="false" ht="12.75" hidden="false" customHeight="false" outlineLevel="0" collapsed="false">
      <c r="A49" s="61" t="n">
        <f aca="false">swap_model!A74</f>
        <v>37196</v>
      </c>
      <c r="B49" s="221" t="n">
        <f aca="false">IF($A49&lt;$B$20,0,IF($A49&gt;$B$21,0,Fwd_curves!H118))</f>
        <v>0</v>
      </c>
      <c r="C49" s="221"/>
      <c r="D49" s="221"/>
      <c r="E49" s="0" t="n">
        <f aca="false">IF($A49&lt;$B$20,0,IF($A49&gt;$B$21,0,IF(ab_gas_deal!$B$9="P",external_curves!AI35,external_curves!AH35)))</f>
        <v>0</v>
      </c>
      <c r="F49" s="138" t="n">
        <f aca="false">$B$6*H49</f>
        <v>0</v>
      </c>
      <c r="G49" s="138" t="n">
        <f aca="false">E49*$B$16</f>
        <v>0</v>
      </c>
      <c r="H49" s="0" t="n">
        <f aca="false">IF($A49&lt;$B$20,0,IF($A49&gt;$B$21,0,IF(ab_gas_deal!$B$9="P",external_curves!X35,external_curves!X35)))</f>
        <v>0</v>
      </c>
      <c r="J49" s="95" t="n">
        <f aca="false">($G$8-((1/($B$8))*$G$9))*F49</f>
        <v>0</v>
      </c>
      <c r="K49" s="95" t="n">
        <f aca="false">F49*($B$10-$G$8)</f>
        <v>0</v>
      </c>
      <c r="L49" s="95" t="n">
        <f aca="false">G49*($G$9-$B$11)</f>
        <v>-0</v>
      </c>
      <c r="M49" s="95"/>
      <c r="N49" s="95" t="n">
        <f aca="false">SUM(J49:L49)</f>
        <v>0</v>
      </c>
      <c r="O49" s="95" t="n">
        <f aca="false">N49*B49</f>
        <v>0</v>
      </c>
    </row>
    <row r="50" customFormat="false" ht="12.75" hidden="false" customHeight="false" outlineLevel="0" collapsed="false">
      <c r="A50" s="61" t="n">
        <f aca="false">swap_model!A75</f>
        <v>37226</v>
      </c>
      <c r="B50" s="221" t="n">
        <f aca="false">IF($A50&lt;$B$20,0,IF($A50&gt;$B$21,0,Fwd_curves!H119))</f>
        <v>0</v>
      </c>
      <c r="C50" s="221"/>
      <c r="D50" s="221"/>
      <c r="E50" s="0" t="n">
        <f aca="false">IF($A50&lt;$B$20,0,IF($A50&gt;$B$21,0,IF(ab_gas_deal!$B$9="P",external_curves!AI36,external_curves!AH36)))</f>
        <v>0</v>
      </c>
      <c r="F50" s="138" t="n">
        <f aca="false">$B$6*H50</f>
        <v>0</v>
      </c>
      <c r="G50" s="138" t="n">
        <f aca="false">E50*$B$16</f>
        <v>0</v>
      </c>
      <c r="H50" s="0" t="n">
        <f aca="false">IF($A50&lt;$B$20,0,IF($A50&gt;$B$21,0,IF(ab_gas_deal!$B$9="P",external_curves!X36,external_curves!X36)))</f>
        <v>0</v>
      </c>
      <c r="J50" s="95" t="n">
        <f aca="false">($G$8-((1/($B$8))*$G$9))*F50</f>
        <v>0</v>
      </c>
      <c r="K50" s="95" t="n">
        <f aca="false">F50*($B$10-$G$8)</f>
        <v>0</v>
      </c>
      <c r="L50" s="95" t="n">
        <f aca="false">G50*($G$9-$B$11)</f>
        <v>-0</v>
      </c>
      <c r="M50" s="95"/>
      <c r="N50" s="95" t="n">
        <f aca="false">SUM(J50:L50)</f>
        <v>0</v>
      </c>
      <c r="O50" s="95" t="n">
        <f aca="false">N50*B50</f>
        <v>0</v>
      </c>
    </row>
    <row r="51" customFormat="false" ht="12.75" hidden="false" customHeight="false" outlineLevel="0" collapsed="false">
      <c r="A51" s="61"/>
    </row>
    <row r="52" customFormat="false" ht="12.75" hidden="false" customHeight="false" outlineLevel="0" collapsed="false">
      <c r="A52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: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8.7"/>
    <col collapsed="false" customWidth="true" hidden="false" outlineLevel="0" max="3" min="3" style="0" width="11.56"/>
    <col collapsed="false" customWidth="true" hidden="false" outlineLevel="0" max="6" min="6" style="0" width="25.99"/>
    <col collapsed="false" customWidth="true" hidden="false" outlineLevel="0" max="7" min="7" style="0" width="17.42"/>
    <col collapsed="false" customWidth="true" hidden="false" outlineLevel="0" max="8" min="8" style="0" width="14.99"/>
    <col collapsed="false" customWidth="true" hidden="false" outlineLevel="0" max="9" min="9" style="0" width="16.28"/>
    <col collapsed="false" customWidth="true" hidden="false" outlineLevel="0" max="10" min="10" style="0" width="11.42"/>
    <col collapsed="false" customWidth="true" hidden="false" outlineLevel="0" max="11" min="11" style="0" width="12.85"/>
    <col collapsed="false" customWidth="true" hidden="false" outlineLevel="0" max="12" min="12" style="0" width="13.14"/>
    <col collapsed="false" customWidth="true" hidden="false" outlineLevel="0" max="13" min="13" style="0" width="16.28"/>
  </cols>
  <sheetData>
    <row r="2" customFormat="false" ht="15.75" hidden="false" customHeight="false" outlineLevel="0" collapsed="false">
      <c r="A2" s="193" t="s">
        <v>387</v>
      </c>
    </row>
    <row r="3" customFormat="false" ht="12.75" hidden="false" customHeight="false" outlineLevel="0" collapsed="false">
      <c r="A3" s="0" t="s">
        <v>414</v>
      </c>
    </row>
    <row r="4" customFormat="false" ht="15.75" hidden="false" customHeight="false" outlineLevel="0" collapsed="false">
      <c r="A4" s="193" t="s">
        <v>246</v>
      </c>
      <c r="F4" s="193" t="s">
        <v>348</v>
      </c>
    </row>
    <row r="5" customFormat="false" ht="12.75" hidden="false" customHeight="false" outlineLevel="0" collapsed="false">
      <c r="C5" s="0" t="n">
        <v>1.055056</v>
      </c>
    </row>
    <row r="6" customFormat="false" ht="12.75" hidden="false" customHeight="false" outlineLevel="0" collapsed="false">
      <c r="A6" s="0" t="s">
        <v>388</v>
      </c>
      <c r="B6" s="225" t="n">
        <v>5000</v>
      </c>
      <c r="C6" s="0" t="n">
        <v>2500</v>
      </c>
      <c r="F6" s="0" t="s">
        <v>389</v>
      </c>
      <c r="G6" s="54" t="n">
        <f aca="false">(1/B8)*G9</f>
        <v>1.47179297738501</v>
      </c>
    </row>
    <row r="7" customFormat="false" ht="12.75" hidden="false" customHeight="false" outlineLevel="0" collapsed="false">
      <c r="A7" s="0" t="s">
        <v>390</v>
      </c>
      <c r="B7" s="138" t="n">
        <f aca="false">SUM(F30:F53)</f>
        <v>1070000</v>
      </c>
    </row>
    <row r="8" customFormat="false" ht="15" hidden="false" customHeight="false" outlineLevel="0" collapsed="false">
      <c r="A8" s="206" t="s">
        <v>352</v>
      </c>
      <c r="B8" s="230" t="n">
        <v>21.7421882640421</v>
      </c>
      <c r="F8" s="0" t="s">
        <v>392</v>
      </c>
      <c r="G8" s="213" t="n">
        <v>2.58</v>
      </c>
    </row>
    <row r="9" customFormat="false" ht="15" hidden="false" customHeight="false" outlineLevel="0" collapsed="false">
      <c r="A9" s="206" t="s">
        <v>264</v>
      </c>
      <c r="B9" s="214" t="s">
        <v>30</v>
      </c>
      <c r="C9" s="0" t="s">
        <v>355</v>
      </c>
      <c r="F9" s="0" t="s">
        <v>415</v>
      </c>
      <c r="G9" s="213" t="n">
        <v>32</v>
      </c>
    </row>
    <row r="10" customFormat="false" ht="15" hidden="false" customHeight="false" outlineLevel="0" collapsed="false">
      <c r="A10" s="206" t="s">
        <v>394</v>
      </c>
      <c r="B10" s="231" t="n">
        <v>2.87</v>
      </c>
      <c r="C10" s="206" t="s">
        <v>358</v>
      </c>
      <c r="F10" s="0" t="s">
        <v>359</v>
      </c>
      <c r="G10" s="95" t="n">
        <f aca="false">SUM(O30:O53)</f>
        <v>107.089473106312</v>
      </c>
    </row>
    <row r="11" customFormat="false" ht="15" hidden="false" customHeight="false" outlineLevel="0" collapsed="false">
      <c r="A11" s="206" t="s">
        <v>416</v>
      </c>
      <c r="B11" s="216" t="n">
        <v>62.4</v>
      </c>
      <c r="C11" s="206"/>
      <c r="F11" s="0" t="s">
        <v>396</v>
      </c>
      <c r="G11" s="0" t="n">
        <f aca="false">G10/B13</f>
        <v>0.00217603690221916</v>
      </c>
    </row>
    <row r="12" customFormat="false" ht="15" hidden="false" customHeight="false" outlineLevel="0" collapsed="false">
      <c r="A12" s="206" t="s">
        <v>361</v>
      </c>
      <c r="B12" s="224" t="n">
        <f aca="false">B11/B10</f>
        <v>21.7421602787456</v>
      </c>
      <c r="C12" s="206"/>
      <c r="F12" s="0" t="s">
        <v>398</v>
      </c>
      <c r="G12" s="54" t="n">
        <f aca="false">G10/B7</f>
        <v>0.000100083619725525</v>
      </c>
    </row>
    <row r="13" customFormat="false" ht="14.25" hidden="false" customHeight="true" outlineLevel="0" collapsed="false">
      <c r="A13" s="206" t="s">
        <v>399</v>
      </c>
      <c r="B13" s="138" t="n">
        <f aca="false">(1/B8)*B7</f>
        <v>49213.0776813114</v>
      </c>
      <c r="C13" s="206" t="s">
        <v>417</v>
      </c>
      <c r="F13" s="0" t="s">
        <v>418</v>
      </c>
    </row>
    <row r="14" customFormat="false" ht="15" hidden="false" customHeight="false" outlineLevel="0" collapsed="false">
      <c r="A14" s="206" t="s">
        <v>68</v>
      </c>
      <c r="B14" s="138" t="n">
        <f aca="false">SUM(E30:E53)/(IF(B9="F",24,16))</f>
        <v>150</v>
      </c>
      <c r="C14" s="206"/>
      <c r="F14" s="0" t="s">
        <v>419</v>
      </c>
      <c r="G14" s="0" t="n">
        <v>9.5</v>
      </c>
    </row>
    <row r="15" customFormat="false" ht="15" hidden="false" customHeight="false" outlineLevel="0" collapsed="false">
      <c r="A15" s="206" t="s">
        <v>402</v>
      </c>
      <c r="B15" s="227" t="n">
        <f aca="false">B13/B14</f>
        <v>328.087184542076</v>
      </c>
      <c r="C15" s="206"/>
      <c r="F15" s="0" t="s">
        <v>420</v>
      </c>
      <c r="G15" s="0" t="n">
        <v>7</v>
      </c>
    </row>
    <row r="16" customFormat="false" ht="12.75" hidden="false" customHeight="false" outlineLevel="0" collapsed="false">
      <c r="A16" s="0" t="s">
        <v>402</v>
      </c>
      <c r="B16" s="194" t="n">
        <f aca="false">B15/(IF(B9="F",24,16))</f>
        <v>20.5054490338798</v>
      </c>
    </row>
    <row r="17" customFormat="false" ht="12.75" hidden="false" customHeight="false" outlineLevel="0" collapsed="false">
      <c r="F17" s="0" t="s">
        <v>421</v>
      </c>
    </row>
    <row r="18" customFormat="false" ht="12.75" hidden="false" customHeight="false" outlineLevel="0" collapsed="false">
      <c r="F18" s="0" t="s">
        <v>419</v>
      </c>
      <c r="G18" s="232" t="n">
        <f aca="false">G14*B13</f>
        <v>467524.237972458</v>
      </c>
    </row>
    <row r="19" customFormat="false" ht="12.75" hidden="false" customHeight="false" outlineLevel="0" collapsed="false">
      <c r="B19" s="219"/>
      <c r="F19" s="0" t="s">
        <v>420</v>
      </c>
      <c r="G19" s="232" t="n">
        <f aca="false">G15*B13</f>
        <v>344491.54376918</v>
      </c>
    </row>
    <row r="20" customFormat="false" ht="12.75" hidden="false" customHeight="false" outlineLevel="0" collapsed="false">
      <c r="B20" s="54"/>
    </row>
    <row r="21" customFormat="false" ht="12.75" hidden="false" customHeight="false" outlineLevel="0" collapsed="false">
      <c r="F21" s="0" t="s">
        <v>422</v>
      </c>
      <c r="G21" s="228" t="n">
        <f aca="false">G10-G19</f>
        <v>-344384.454296073</v>
      </c>
    </row>
    <row r="23" customFormat="false" ht="15" hidden="false" customHeight="false" outlineLevel="0" collapsed="false">
      <c r="A23" s="206" t="s">
        <v>315</v>
      </c>
      <c r="B23" s="220" t="n">
        <v>36982</v>
      </c>
    </row>
    <row r="24" customFormat="false" ht="15" hidden="false" customHeight="false" outlineLevel="0" collapsed="false">
      <c r="A24" s="206" t="s">
        <v>316</v>
      </c>
      <c r="B24" s="220" t="n">
        <v>37165</v>
      </c>
    </row>
    <row r="25" customFormat="false" ht="15" hidden="false" customHeight="false" outlineLevel="0" collapsed="false">
      <c r="A25" s="206" t="s">
        <v>317</v>
      </c>
      <c r="B25" s="56" t="n">
        <f aca="false">COUNTIF(B30:B53,"&gt;0")</f>
        <v>7</v>
      </c>
    </row>
    <row r="27" customFormat="false" ht="12.75" hidden="false" customHeight="false" outlineLevel="0" collapsed="false">
      <c r="J27" s="0" t="s">
        <v>367</v>
      </c>
    </row>
    <row r="28" customFormat="false" ht="12.75" hidden="false" customHeight="false" outlineLevel="0" collapsed="false">
      <c r="J28" s="0" t="s">
        <v>368</v>
      </c>
      <c r="K28" s="0" t="s">
        <v>411</v>
      </c>
      <c r="L28" s="0" t="s">
        <v>370</v>
      </c>
    </row>
    <row r="29" customFormat="false" ht="12.75" hidden="false" customHeight="false" outlineLevel="0" collapsed="false">
      <c r="A29" s="0" t="s">
        <v>86</v>
      </c>
      <c r="B29" s="0" t="s">
        <v>44</v>
      </c>
      <c r="E29" s="0" t="s">
        <v>102</v>
      </c>
      <c r="F29" s="0" t="s">
        <v>412</v>
      </c>
      <c r="G29" s="0" t="s">
        <v>114</v>
      </c>
      <c r="H29" s="0" t="s">
        <v>413</v>
      </c>
      <c r="J29" s="0" t="s">
        <v>371</v>
      </c>
      <c r="L29" s="0" t="s">
        <v>373</v>
      </c>
      <c r="N29" s="0" t="s">
        <v>374</v>
      </c>
      <c r="O29" s="0" t="s">
        <v>375</v>
      </c>
    </row>
    <row r="30" customFormat="false" ht="12.75" hidden="false" customHeight="false" outlineLevel="0" collapsed="false">
      <c r="A30" s="61" t="n">
        <f aca="false">swap_model!A52</f>
        <v>36526</v>
      </c>
      <c r="B30" s="221" t="n">
        <f aca="false">IF($A30&lt;$B$23,0,IF($A30&gt;$B$24,0,Fwd_curves!H96))</f>
        <v>0</v>
      </c>
      <c r="D30" s="221"/>
      <c r="E30" s="0" t="n">
        <f aca="false">IF($A30&lt;$B$23,0,IF($A30&gt;$B$24,0,IF(PJM_deal!$B$9="P",external_curves!AI14,external_curves!AH14)))</f>
        <v>0</v>
      </c>
      <c r="F30" s="138" t="n">
        <f aca="false">$B$6*H30</f>
        <v>0</v>
      </c>
      <c r="G30" s="138" t="n">
        <f aca="false">E30*$B$16</f>
        <v>0</v>
      </c>
      <c r="H30" s="0" t="n">
        <f aca="false">IF($A30&lt;$B$23,0,IF($A30&gt;$B$24,0,IF(PJM_deal!$B$9="P",external_curves!X15,external_curves!X15)))</f>
        <v>0</v>
      </c>
      <c r="J30" s="95" t="n">
        <f aca="false">($G$8-((1/($B$8))*$G$9))*F30</f>
        <v>0</v>
      </c>
      <c r="K30" s="95" t="n">
        <f aca="false">F30*($B$10-$G$8)</f>
        <v>0</v>
      </c>
      <c r="L30" s="95" t="n">
        <f aca="false">G30*($G$9-$B$11)</f>
        <v>-0</v>
      </c>
      <c r="M30" s="95"/>
      <c r="N30" s="95" t="n">
        <f aca="false">SUM(J30:L30)</f>
        <v>0</v>
      </c>
      <c r="O30" s="95" t="n">
        <f aca="false">N30*B30</f>
        <v>0</v>
      </c>
    </row>
    <row r="31" customFormat="false" ht="12.75" hidden="false" customHeight="false" outlineLevel="0" collapsed="false">
      <c r="A31" s="61" t="n">
        <f aca="false">swap_model!A53</f>
        <v>36557</v>
      </c>
      <c r="B31" s="221" t="n">
        <f aca="false">IF($A31&lt;$B$23,0,IF($A31&gt;$B$24,0,Fwd_curves!H97))</f>
        <v>0</v>
      </c>
      <c r="C31" s="221"/>
      <c r="D31" s="221"/>
      <c r="E31" s="0" t="n">
        <f aca="false">IF($A31&lt;$B$23,0,IF($A31&gt;$B$24,0,IF(PJM_deal!$B$9="P",external_curves!AI15,external_curves!AH15)))</f>
        <v>0</v>
      </c>
      <c r="F31" s="138" t="n">
        <f aca="false">$B$6*H31</f>
        <v>0</v>
      </c>
      <c r="G31" s="138" t="n">
        <f aca="false">E31*$B$16</f>
        <v>0</v>
      </c>
      <c r="H31" s="0" t="n">
        <f aca="false">IF($A31&lt;$B$23,0,IF($A31&gt;$B$24,0,IF(PJM_deal!$B$9="P",external_curves!X16,external_curves!X16)))</f>
        <v>0</v>
      </c>
      <c r="J31" s="95" t="n">
        <f aca="false">($G$8-((1/($B$8))*$G$9))*F31</f>
        <v>0</v>
      </c>
      <c r="K31" s="95" t="n">
        <f aca="false">F31*($B$10-$G$8)</f>
        <v>0</v>
      </c>
      <c r="L31" s="95" t="n">
        <f aca="false">G31*($G$9-$B$11)</f>
        <v>-0</v>
      </c>
      <c r="M31" s="95"/>
      <c r="N31" s="95" t="n">
        <f aca="false">SUM(J31:L31)</f>
        <v>0</v>
      </c>
      <c r="O31" s="95" t="n">
        <f aca="false">N31*B31</f>
        <v>0</v>
      </c>
    </row>
    <row r="32" customFormat="false" ht="12.75" hidden="false" customHeight="false" outlineLevel="0" collapsed="false">
      <c r="A32" s="61" t="n">
        <f aca="false">swap_model!A54</f>
        <v>36586</v>
      </c>
      <c r="B32" s="221" t="n">
        <f aca="false">IF($A32&lt;$B$23,0,IF($A32&gt;$B$24,0,Fwd_curves!H98))</f>
        <v>0</v>
      </c>
      <c r="C32" s="221"/>
      <c r="D32" s="221"/>
      <c r="E32" s="0" t="n">
        <f aca="false">IF($A32&lt;$B$23,0,IF($A32&gt;$B$24,0,IF(PJM_deal!$B$9="P",external_curves!AI16,external_curves!AH16)))</f>
        <v>0</v>
      </c>
      <c r="F32" s="138" t="n">
        <f aca="false">$B$6*H32</f>
        <v>0</v>
      </c>
      <c r="G32" s="138" t="n">
        <f aca="false">E32*$B$16</f>
        <v>0</v>
      </c>
      <c r="H32" s="0" t="n">
        <f aca="false">IF($A32&lt;$B$23,0,IF($A32&gt;$B$24,0,IF(PJM_deal!$B$9="P",#REF!,#REF!)))</f>
        <v>0</v>
      </c>
      <c r="J32" s="95" t="n">
        <f aca="false">($G$8-((1/($B$8))*$G$9))*F32</f>
        <v>0</v>
      </c>
      <c r="K32" s="95" t="n">
        <f aca="false">F32*($B$10-$G$8)</f>
        <v>0</v>
      </c>
      <c r="L32" s="95" t="n">
        <f aca="false">G32*($G$9-$B$11)</f>
        <v>-0</v>
      </c>
      <c r="M32" s="95"/>
      <c r="N32" s="95" t="n">
        <f aca="false">SUM(J32:L32)</f>
        <v>0</v>
      </c>
      <c r="O32" s="95" t="n">
        <f aca="false">N32*B32</f>
        <v>0</v>
      </c>
    </row>
    <row r="33" customFormat="false" ht="12.75" hidden="false" customHeight="false" outlineLevel="0" collapsed="false">
      <c r="A33" s="61" t="n">
        <f aca="false">swap_model!A55</f>
        <v>36617</v>
      </c>
      <c r="B33" s="221" t="n">
        <f aca="false">IF($A33&lt;$B$23,0,IF($A33&gt;$B$24,0,Fwd_curves!H99))</f>
        <v>0</v>
      </c>
      <c r="C33" s="221"/>
      <c r="D33" s="221"/>
      <c r="E33" s="0" t="n">
        <f aca="false">IF($A33&lt;$B$23,0,IF($A33&gt;$B$24,0,IF(PJM_deal!$B$9="P",#REF!,#REF!)))</f>
        <v>0</v>
      </c>
      <c r="F33" s="138" t="n">
        <f aca="false">$B$6*H33</f>
        <v>0</v>
      </c>
      <c r="G33" s="138" t="n">
        <f aca="false">E33*$B$16</f>
        <v>0</v>
      </c>
      <c r="H33" s="0" t="n">
        <f aca="false">IF($A33&lt;$B$23,0,IF($A33&gt;$B$24,0,IF(PJM_deal!$B$9="P",external_curves!X16,external_curves!X16)))</f>
        <v>0</v>
      </c>
      <c r="J33" s="95" t="n">
        <f aca="false">($G$8-((1/($B$8))*$G$9))*F33</f>
        <v>0</v>
      </c>
      <c r="K33" s="95" t="n">
        <f aca="false">F33*($B$10-$G$8)</f>
        <v>0</v>
      </c>
      <c r="L33" s="95" t="n">
        <f aca="false">G33*($G$9-$B$11)</f>
        <v>-0</v>
      </c>
      <c r="M33" s="95"/>
      <c r="N33" s="95" t="n">
        <f aca="false">SUM(J33:L33)</f>
        <v>0</v>
      </c>
      <c r="O33" s="95" t="n">
        <f aca="false">N33*B33</f>
        <v>0</v>
      </c>
    </row>
    <row r="34" customFormat="false" ht="12.75" hidden="false" customHeight="false" outlineLevel="0" collapsed="false">
      <c r="A34" s="61" t="n">
        <f aca="false">swap_model!A56</f>
        <v>36647</v>
      </c>
      <c r="B34" s="221" t="n">
        <f aca="false">IF($A34&lt;$B$23,0,IF($A34&gt;$B$24,0,Fwd_curves!H100))</f>
        <v>0</v>
      </c>
      <c r="C34" s="221"/>
      <c r="D34" s="221"/>
      <c r="E34" s="0" t="n">
        <f aca="false">IF($A34&lt;$B$23,0,IF($A34&gt;$B$24,0,IF(PJM_deal!$B$9="P",external_curves!AI17,external_curves!AH17)))</f>
        <v>0</v>
      </c>
      <c r="F34" s="138" t="n">
        <f aca="false">$B$6*H34</f>
        <v>0</v>
      </c>
      <c r="G34" s="138" t="n">
        <f aca="false">E34*$B$16</f>
        <v>0</v>
      </c>
      <c r="H34" s="0" t="n">
        <f aca="false">IF($A34&lt;$B$23,0,IF($A34&gt;$B$24,0,IF(PJM_deal!$B$9="P",external_curves!X17,external_curves!X17)))</f>
        <v>0</v>
      </c>
      <c r="J34" s="95" t="n">
        <f aca="false">($G$8-((1/($B$8))*$G$9))*F34</f>
        <v>0</v>
      </c>
      <c r="K34" s="95" t="n">
        <f aca="false">F34*($B$10-$G$8)</f>
        <v>0</v>
      </c>
      <c r="L34" s="95" t="n">
        <f aca="false">G34*($G$9-$B$11)</f>
        <v>-0</v>
      </c>
      <c r="M34" s="95"/>
      <c r="N34" s="95" t="n">
        <f aca="false">SUM(J34:L34)</f>
        <v>0</v>
      </c>
      <c r="O34" s="95" t="n">
        <f aca="false">N34*B34</f>
        <v>0</v>
      </c>
    </row>
    <row r="35" customFormat="false" ht="12.75" hidden="false" customHeight="false" outlineLevel="0" collapsed="false">
      <c r="A35" s="61" t="n">
        <f aca="false">swap_model!A57</f>
        <v>36678</v>
      </c>
      <c r="B35" s="221" t="n">
        <f aca="false">IF($A35&lt;$B$23,0,IF($A35&gt;$B$24,0,Fwd_curves!H101))</f>
        <v>0</v>
      </c>
      <c r="C35" s="221"/>
      <c r="D35" s="221"/>
      <c r="E35" s="0" t="n">
        <f aca="false">IF($A35&lt;$B$23,0,IF($A35&gt;$B$24,0,IF(PJM_deal!$B$9="P",external_curves!AI18,external_curves!AH18)))</f>
        <v>0</v>
      </c>
      <c r="F35" s="138" t="n">
        <f aca="false">$B$6*H35</f>
        <v>0</v>
      </c>
      <c r="G35" s="138" t="n">
        <f aca="false">E35*$B$16</f>
        <v>0</v>
      </c>
      <c r="H35" s="0" t="n">
        <f aca="false">IF($A35&lt;$B$23,0,IF($A35&gt;$B$24,0,IF(PJM_deal!$B$9="P",external_curves!X18,external_curves!X18)))</f>
        <v>0</v>
      </c>
      <c r="J35" s="95" t="n">
        <f aca="false">($G$8-((1/($B$8))*$G$9))*F35</f>
        <v>0</v>
      </c>
      <c r="K35" s="95" t="n">
        <f aca="false">F35*($B$10-$G$8)</f>
        <v>0</v>
      </c>
      <c r="L35" s="95" t="n">
        <f aca="false">G35*($G$9-$B$11)</f>
        <v>-0</v>
      </c>
      <c r="M35" s="95"/>
      <c r="N35" s="95" t="n">
        <f aca="false">SUM(J35:L35)</f>
        <v>0</v>
      </c>
      <c r="O35" s="95" t="n">
        <f aca="false">N35*B35</f>
        <v>0</v>
      </c>
    </row>
    <row r="36" customFormat="false" ht="12.75" hidden="false" customHeight="false" outlineLevel="0" collapsed="false">
      <c r="A36" s="61" t="n">
        <f aca="false">swap_model!A58</f>
        <v>36708</v>
      </c>
      <c r="B36" s="221" t="n">
        <f aca="false">IF($A36&lt;$B$23,0,IF($A36&gt;$B$24,0,Fwd_curves!H102))</f>
        <v>0</v>
      </c>
      <c r="C36" s="221"/>
      <c r="D36" s="221"/>
      <c r="E36" s="0" t="n">
        <f aca="false">IF($A36&lt;$B$23,0,IF($A36&gt;$B$24,0,IF(PJM_deal!$B$9="P",external_curves!AI19,external_curves!AH19)))</f>
        <v>0</v>
      </c>
      <c r="F36" s="138" t="n">
        <f aca="false">$B$6*H36</f>
        <v>0</v>
      </c>
      <c r="G36" s="138" t="n">
        <f aca="false">E36*$B$16</f>
        <v>0</v>
      </c>
      <c r="H36" s="0" t="n">
        <f aca="false">IF($A36&lt;$B$23,0,IF($A36&gt;$B$24,0,IF(PJM_deal!$B$9="P",external_curves!X19,external_curves!X19)))</f>
        <v>0</v>
      </c>
      <c r="J36" s="95" t="n">
        <f aca="false">($G$8-((1/($B$8))*$G$9))*F36</f>
        <v>0</v>
      </c>
      <c r="K36" s="95" t="n">
        <f aca="false">F36*($B$10-$G$8)</f>
        <v>0</v>
      </c>
      <c r="L36" s="95" t="n">
        <f aca="false">G36*($G$9-$B$11)</f>
        <v>-0</v>
      </c>
      <c r="M36" s="95"/>
      <c r="N36" s="95" t="n">
        <f aca="false">SUM(J36:L36)</f>
        <v>0</v>
      </c>
      <c r="O36" s="95" t="n">
        <f aca="false">N36*B36</f>
        <v>0</v>
      </c>
    </row>
    <row r="37" customFormat="false" ht="12.75" hidden="false" customHeight="false" outlineLevel="0" collapsed="false">
      <c r="A37" s="61" t="n">
        <f aca="false">swap_model!A59</f>
        <v>36739</v>
      </c>
      <c r="B37" s="221" t="n">
        <f aca="false">IF($A37&lt;$B$23,0,IF($A37&gt;$B$24,0,Fwd_curves!H103))</f>
        <v>0</v>
      </c>
      <c r="C37" s="221"/>
      <c r="D37" s="221"/>
      <c r="E37" s="0" t="n">
        <f aca="false">IF($A37&lt;$B$23,0,IF($A37&gt;$B$24,0,IF(PJM_deal!$B$9="P",external_curves!AI20,external_curves!AH20)))</f>
        <v>0</v>
      </c>
      <c r="F37" s="138" t="n">
        <f aca="false">$B$6*H37</f>
        <v>0</v>
      </c>
      <c r="G37" s="138" t="n">
        <f aca="false">E37*$B$16</f>
        <v>0</v>
      </c>
      <c r="H37" s="0" t="n">
        <f aca="false">IF($A37&lt;$B$23,0,IF($A37&gt;$B$24,0,IF(PJM_deal!$B$9="P",external_curves!X20,external_curves!X20)))</f>
        <v>0</v>
      </c>
      <c r="J37" s="95" t="n">
        <f aca="false">($G$8-((1/($B$8))*$G$9))*F37</f>
        <v>0</v>
      </c>
      <c r="K37" s="95" t="n">
        <f aca="false">F37*($B$10-$G$8)</f>
        <v>0</v>
      </c>
      <c r="L37" s="95" t="n">
        <f aca="false">G37*($G$9-$B$11)</f>
        <v>-0</v>
      </c>
      <c r="M37" s="95"/>
      <c r="N37" s="95" t="n">
        <f aca="false">SUM(J37:L37)</f>
        <v>0</v>
      </c>
      <c r="O37" s="95" t="n">
        <f aca="false">N37*B37</f>
        <v>0</v>
      </c>
    </row>
    <row r="38" customFormat="false" ht="12.75" hidden="false" customHeight="false" outlineLevel="0" collapsed="false">
      <c r="A38" s="61" t="n">
        <f aca="false">swap_model!A60</f>
        <v>36770</v>
      </c>
      <c r="B38" s="221" t="n">
        <f aca="false">IF($A38&lt;$B$23,0,IF($A38&gt;$B$24,0,Fwd_curves!H104))</f>
        <v>0</v>
      </c>
      <c r="C38" s="221"/>
      <c r="D38" s="221"/>
      <c r="E38" s="0" t="n">
        <f aca="false">IF($A38&lt;$B$23,0,IF($A38&gt;$B$24,0,IF(PJM_deal!$B$9="P",external_curves!AI21,external_curves!AH21)))</f>
        <v>0</v>
      </c>
      <c r="F38" s="138" t="n">
        <f aca="false">$B$6*H38</f>
        <v>0</v>
      </c>
      <c r="G38" s="138" t="n">
        <f aca="false">E38*$B$16</f>
        <v>0</v>
      </c>
      <c r="H38" s="0" t="n">
        <f aca="false">IF($A38&lt;$B$23,0,IF($A38&gt;$B$24,0,IF(PJM_deal!$B$9="P",external_curves!X21,external_curves!X21)))</f>
        <v>0</v>
      </c>
      <c r="J38" s="95" t="n">
        <f aca="false">($G$8-((1/($B$8))*$G$9))*F38</f>
        <v>0</v>
      </c>
      <c r="K38" s="95" t="n">
        <f aca="false">F38*($B$10-$G$8)</f>
        <v>0</v>
      </c>
      <c r="L38" s="95" t="n">
        <f aca="false">G38*($G$9-$B$11)</f>
        <v>-0</v>
      </c>
      <c r="M38" s="95"/>
      <c r="N38" s="95" t="n">
        <f aca="false">SUM(J38:L38)</f>
        <v>0</v>
      </c>
      <c r="O38" s="95" t="n">
        <f aca="false">N38*B38</f>
        <v>0</v>
      </c>
    </row>
    <row r="39" customFormat="false" ht="12.75" hidden="false" customHeight="false" outlineLevel="0" collapsed="false">
      <c r="A39" s="61" t="n">
        <f aca="false">swap_model!A61</f>
        <v>36800</v>
      </c>
      <c r="B39" s="221" t="n">
        <f aca="false">IF($A39&lt;$B$23,0,IF($A39&gt;$B$24,0,Fwd_curves!H105))</f>
        <v>0</v>
      </c>
      <c r="C39" s="221"/>
      <c r="D39" s="221"/>
      <c r="E39" s="0" t="n">
        <f aca="false">IF($A39&lt;$B$23,0,IF($A39&gt;$B$24,0,IF(PJM_deal!$B$9="P",external_curves!AI22,external_curves!AH22)))</f>
        <v>0</v>
      </c>
      <c r="F39" s="138" t="n">
        <f aca="false">$B$6*H39</f>
        <v>0</v>
      </c>
      <c r="G39" s="138" t="n">
        <f aca="false">E39*$B$16</f>
        <v>0</v>
      </c>
      <c r="H39" s="0" t="n">
        <f aca="false">IF($A39&lt;$B$23,0,IF($A39&gt;$B$24,0,IF(PJM_deal!$B$9="P",external_curves!X22,external_curves!X22)))</f>
        <v>0</v>
      </c>
      <c r="J39" s="95" t="n">
        <f aca="false">($G$8-((1/($B$8))*$G$9))*F39</f>
        <v>0</v>
      </c>
      <c r="K39" s="95" t="n">
        <f aca="false">F39*($B$10-$G$8)</f>
        <v>0</v>
      </c>
      <c r="L39" s="95" t="n">
        <f aca="false">G39*($G$9-$B$11)</f>
        <v>-0</v>
      </c>
      <c r="M39" s="95"/>
      <c r="N39" s="95" t="n">
        <f aca="false">SUM(J39:L39)</f>
        <v>0</v>
      </c>
      <c r="O39" s="95" t="n">
        <f aca="false">N39*B39</f>
        <v>0</v>
      </c>
    </row>
    <row r="40" customFormat="false" ht="12.75" hidden="false" customHeight="false" outlineLevel="0" collapsed="false">
      <c r="A40" s="61" t="n">
        <f aca="false">swap_model!A62</f>
        <v>36831</v>
      </c>
      <c r="B40" s="221" t="n">
        <f aca="false">IF($A40&lt;$B$23,0,IF($A40&gt;$B$24,0,Fwd_curves!H106))</f>
        <v>0</v>
      </c>
      <c r="C40" s="221"/>
      <c r="D40" s="221"/>
      <c r="E40" s="0" t="n">
        <f aca="false">IF($A40&lt;$B$23,0,IF($A40&gt;$B$24,0,IF(PJM_deal!$B$9="P",external_curves!AI23,external_curves!AH23)))</f>
        <v>0</v>
      </c>
      <c r="F40" s="138" t="n">
        <f aca="false">$B$6*H40</f>
        <v>0</v>
      </c>
      <c r="G40" s="138" t="n">
        <f aca="false">E40*$B$16</f>
        <v>0</v>
      </c>
      <c r="H40" s="0" t="n">
        <f aca="false">IF($A40&lt;$B$23,0,IF($A40&gt;$B$24,0,IF(PJM_deal!$B$9="P",external_curves!X23,external_curves!X23)))</f>
        <v>0</v>
      </c>
      <c r="J40" s="95" t="n">
        <f aca="false">($G$8-((1/($B$8))*$G$9))*F40</f>
        <v>0</v>
      </c>
      <c r="K40" s="95" t="n">
        <f aca="false">F40*($B$10-$G$8)</f>
        <v>0</v>
      </c>
      <c r="L40" s="95" t="n">
        <f aca="false">G40*($G$9-$B$11)</f>
        <v>-0</v>
      </c>
      <c r="M40" s="95"/>
      <c r="N40" s="95" t="n">
        <f aca="false">SUM(J40:L40)</f>
        <v>0</v>
      </c>
      <c r="O40" s="95" t="n">
        <f aca="false">N40*B40</f>
        <v>0</v>
      </c>
    </row>
    <row r="41" customFormat="false" ht="12.75" hidden="false" customHeight="false" outlineLevel="0" collapsed="false">
      <c r="A41" s="61" t="n">
        <f aca="false">swap_model!A63</f>
        <v>36861</v>
      </c>
      <c r="B41" s="221" t="n">
        <f aca="false">IF($A41&lt;$B$23,0,IF($A41&gt;$B$24,0,Fwd_curves!H107))</f>
        <v>0</v>
      </c>
      <c r="C41" s="221"/>
      <c r="D41" s="221"/>
      <c r="E41" s="0" t="n">
        <f aca="false">IF($A41&lt;$B$23,0,IF($A41&gt;$B$24,0,IF(PJM_deal!$B$9="P",external_curves!AI24,external_curves!AH24)))</f>
        <v>0</v>
      </c>
      <c r="F41" s="138" t="n">
        <f aca="false">$B$6*H41</f>
        <v>0</v>
      </c>
      <c r="G41" s="138" t="n">
        <f aca="false">E41*$B$16</f>
        <v>0</v>
      </c>
      <c r="H41" s="0" t="n">
        <f aca="false">IF($A41&lt;$B$23,0,IF($A41&gt;$B$24,0,IF(PJM_deal!$B$9="P",external_curves!X24,external_curves!X24)))</f>
        <v>0</v>
      </c>
      <c r="J41" s="95" t="n">
        <f aca="false">($G$8-((1/($B$8))*$G$9))*F41</f>
        <v>0</v>
      </c>
      <c r="K41" s="95" t="n">
        <f aca="false">F41*($B$10-$G$8)</f>
        <v>0</v>
      </c>
      <c r="L41" s="95" t="n">
        <f aca="false">G41*($G$9-$B$11)</f>
        <v>-0</v>
      </c>
      <c r="M41" s="95"/>
      <c r="N41" s="95" t="n">
        <f aca="false">SUM(J41:L41)</f>
        <v>0</v>
      </c>
      <c r="O41" s="95" t="n">
        <f aca="false">N41*B41</f>
        <v>0</v>
      </c>
    </row>
    <row r="42" customFormat="false" ht="12.75" hidden="false" customHeight="false" outlineLevel="0" collapsed="false">
      <c r="A42" s="61" t="n">
        <f aca="false">swap_model!A64</f>
        <v>36892</v>
      </c>
      <c r="B42" s="221" t="n">
        <f aca="false">IF($A42&lt;$B$23,0,IF($A42&gt;$B$24,0,Fwd_curves!H108))</f>
        <v>0</v>
      </c>
      <c r="C42" s="221"/>
      <c r="D42" s="221"/>
      <c r="E42" s="0" t="n">
        <f aca="false">IF($A42&lt;$B$23,0,IF($A42&gt;$B$24,0,IF(PJM_deal!$B$9="P",external_curves!AI25,external_curves!AH25)))</f>
        <v>0</v>
      </c>
      <c r="F42" s="138" t="n">
        <f aca="false">$B$6*H42</f>
        <v>0</v>
      </c>
      <c r="G42" s="138" t="n">
        <f aca="false">E42*$B$16</f>
        <v>0</v>
      </c>
      <c r="H42" s="0" t="n">
        <f aca="false">IF($A42&lt;$B$23,0,IF($A42&gt;$B$24,0,IF(PJM_deal!$B$9="P",external_curves!X25,external_curves!X25)))</f>
        <v>0</v>
      </c>
      <c r="J42" s="95" t="n">
        <f aca="false">($G$8-((1/($B$8))*$G$9))*F42</f>
        <v>0</v>
      </c>
      <c r="K42" s="95" t="n">
        <f aca="false">F42*($B$10-$G$8)</f>
        <v>0</v>
      </c>
      <c r="L42" s="95" t="n">
        <f aca="false">G42*($G$9-$B$11)</f>
        <v>-0</v>
      </c>
      <c r="M42" s="95"/>
      <c r="N42" s="95" t="n">
        <f aca="false">SUM(J42:L42)</f>
        <v>0</v>
      </c>
      <c r="O42" s="95" t="n">
        <f aca="false">N42*B42</f>
        <v>0</v>
      </c>
    </row>
    <row r="43" customFormat="false" ht="12.75" hidden="false" customHeight="false" outlineLevel="0" collapsed="false">
      <c r="A43" s="61" t="n">
        <f aca="false">swap_model!A65</f>
        <v>36923</v>
      </c>
      <c r="B43" s="221" t="n">
        <f aca="false">IF($A43&lt;$B$23,0,IF($A43&gt;$B$24,0,Fwd_curves!H109))</f>
        <v>0</v>
      </c>
      <c r="C43" s="221"/>
      <c r="D43" s="221"/>
      <c r="E43" s="0" t="n">
        <f aca="false">IF($A43&lt;$B$23,0,IF($A43&gt;$B$24,0,IF(PJM_deal!$B$9="P",external_curves!AI26,external_curves!AH26)))</f>
        <v>0</v>
      </c>
      <c r="F43" s="138" t="n">
        <f aca="false">$B$6*H43</f>
        <v>0</v>
      </c>
      <c r="G43" s="138" t="n">
        <f aca="false">E43*$B$16</f>
        <v>0</v>
      </c>
      <c r="H43" s="0" t="n">
        <f aca="false">IF($A43&lt;$B$23,0,IF($A43&gt;$B$24,0,IF(PJM_deal!$B$9="P",external_curves!X26,external_curves!X26)))</f>
        <v>0</v>
      </c>
      <c r="J43" s="95" t="n">
        <f aca="false">($G$8-((1/($B$8))*$G$9))*F43</f>
        <v>0</v>
      </c>
      <c r="K43" s="95" t="n">
        <f aca="false">F43*($B$10-$G$8)</f>
        <v>0</v>
      </c>
      <c r="L43" s="95" t="n">
        <f aca="false">G43*($G$9-$B$11)</f>
        <v>-0</v>
      </c>
      <c r="M43" s="95"/>
      <c r="N43" s="95" t="n">
        <f aca="false">SUM(J43:L43)</f>
        <v>0</v>
      </c>
      <c r="O43" s="95" t="n">
        <f aca="false">N43*B43</f>
        <v>0</v>
      </c>
    </row>
    <row r="44" customFormat="false" ht="12.75" hidden="false" customHeight="false" outlineLevel="0" collapsed="false">
      <c r="A44" s="61" t="n">
        <f aca="false">swap_model!A66</f>
        <v>36951</v>
      </c>
      <c r="B44" s="221" t="n">
        <f aca="false">IF($A44&lt;$B$23,0,IF($A44&gt;$B$24,0,Fwd_curves!H110))</f>
        <v>0</v>
      </c>
      <c r="C44" s="221"/>
      <c r="D44" s="221"/>
      <c r="E44" s="0" t="n">
        <f aca="false">IF($A44&lt;$B$23,0,IF($A44&gt;$B$24,0,IF(PJM_deal!$B$9="P",external_curves!AI27,external_curves!AH27)))</f>
        <v>0</v>
      </c>
      <c r="F44" s="138" t="n">
        <f aca="false">$B$6*H44</f>
        <v>0</v>
      </c>
      <c r="G44" s="138" t="n">
        <f aca="false">E44*$B$16</f>
        <v>0</v>
      </c>
      <c r="H44" s="0" t="n">
        <f aca="false">IF($A44&lt;$B$23,0,IF($A44&gt;$B$24,0,IF(PJM_deal!$B$9="P",external_curves!X27,external_curves!X27)))</f>
        <v>0</v>
      </c>
      <c r="J44" s="95" t="n">
        <f aca="false">($G$8-((1/($B$8))*$G$9))*F44</f>
        <v>0</v>
      </c>
      <c r="K44" s="95" t="n">
        <f aca="false">F44*($B$10-$G$8)</f>
        <v>0</v>
      </c>
      <c r="L44" s="95" t="n">
        <f aca="false">G44*($G$9-$B$11)</f>
        <v>-0</v>
      </c>
      <c r="M44" s="95"/>
      <c r="N44" s="95" t="n">
        <f aca="false">SUM(J44:L44)</f>
        <v>0</v>
      </c>
      <c r="O44" s="95" t="n">
        <f aca="false">N44*B44</f>
        <v>0</v>
      </c>
    </row>
    <row r="45" customFormat="false" ht="12.75" hidden="false" customHeight="false" outlineLevel="0" collapsed="false">
      <c r="A45" s="61" t="n">
        <f aca="false">swap_model!A67</f>
        <v>36982</v>
      </c>
      <c r="B45" s="221" t="n">
        <f aca="false">IF($A45&lt;$B$23,0,IF($A45&gt;$B$24,0,Fwd_curves!H111))</f>
        <v>4.10136785666976</v>
      </c>
      <c r="C45" s="221"/>
      <c r="D45" s="221"/>
      <c r="E45" s="0" t="n">
        <f aca="false">IF($A45&lt;$B$23,0,IF($A45&gt;$B$24,0,IF(PJM_deal!$B$9="P",(external_curves!AB28-external_curves!AC28)*16,external_curves!AH28)))</f>
        <v>352</v>
      </c>
      <c r="F45" s="138" t="n">
        <f aca="false">$B$6*H45</f>
        <v>155000</v>
      </c>
      <c r="G45" s="138" t="n">
        <f aca="false">E45*$B$16</f>
        <v>7217.91805992567</v>
      </c>
      <c r="H45" s="0" t="n">
        <f aca="false">IF($A45&lt;$B$23,0,IF($A45&gt;$B$24,0,IF(PJM_deal!$B$9="P",external_curves!X28,external_curves!X28)))</f>
        <v>31</v>
      </c>
      <c r="J45" s="95" t="n">
        <f aca="false">($G$8-((1/($B$8))*$G$9))*F45</f>
        <v>171772.088505323</v>
      </c>
      <c r="K45" s="95" t="n">
        <f aca="false">F45*($B$10-$G$8)</f>
        <v>44950</v>
      </c>
      <c r="L45" s="95" t="n">
        <f aca="false">G45*($G$9-$B$11)</f>
        <v>-219424.70902174</v>
      </c>
      <c r="M45" s="95"/>
      <c r="N45" s="95" t="n">
        <f aca="false">SUM(J45:L45)</f>
        <v>-2702.62051641752</v>
      </c>
      <c r="O45" s="95" t="n">
        <f aca="false">N45*B45</f>
        <v>-11084.440914811</v>
      </c>
    </row>
    <row r="46" customFormat="false" ht="12.75" hidden="false" customHeight="false" outlineLevel="0" collapsed="false">
      <c r="A46" s="61" t="n">
        <f aca="false">swap_model!A68</f>
        <v>37012</v>
      </c>
      <c r="B46" s="221" t="n">
        <f aca="false">IF($A46&lt;$B$23,0,IF($A46&gt;$B$24,0,Fwd_curves!H112))</f>
        <v>4.08479171813399</v>
      </c>
      <c r="C46" s="221"/>
      <c r="D46" s="221"/>
      <c r="E46" s="0" t="n">
        <f aca="false">IF($A46&lt;$B$23,0,IF($A46&gt;$B$24,0,IF(PJM_deal!$B$9="P",(external_curves!AB29-external_curves!AC29)*16,external_curves!AH29)))</f>
        <v>336</v>
      </c>
      <c r="F46" s="138" t="n">
        <f aca="false">$B$6*H46</f>
        <v>150000</v>
      </c>
      <c r="G46" s="138" t="n">
        <f aca="false">E46*$B$16</f>
        <v>6889.8308753836</v>
      </c>
      <c r="H46" s="0" t="n">
        <f aca="false">IF($A46&lt;$B$23,0,IF($A46&gt;$B$24,0,IF(PJM_deal!$B$9="P",external_curves!X29,external_curves!X29)))</f>
        <v>30</v>
      </c>
      <c r="J46" s="95" t="n">
        <f aca="false">($G$8-((1/($B$8))*$G$9))*F46</f>
        <v>166231.053392248</v>
      </c>
      <c r="K46" s="95" t="n">
        <f aca="false">F46*($B$10-$G$8)</f>
        <v>43500</v>
      </c>
      <c r="L46" s="95" t="n">
        <f aca="false">G46*($G$9-$B$11)</f>
        <v>-209450.858611661</v>
      </c>
      <c r="M46" s="95"/>
      <c r="N46" s="95" t="n">
        <f aca="false">SUM(J46:L46)</f>
        <v>280.194780586637</v>
      </c>
      <c r="O46" s="95" t="n">
        <f aca="false">N46*B46</f>
        <v>1144.53731920466</v>
      </c>
    </row>
    <row r="47" customFormat="false" ht="12.75" hidden="false" customHeight="false" outlineLevel="0" collapsed="false">
      <c r="A47" s="61" t="n">
        <f aca="false">swap_model!A69</f>
        <v>37043</v>
      </c>
      <c r="B47" s="221" t="n">
        <f aca="false">IF($A47&lt;$B$23,0,IF($A47&gt;$B$24,0,Fwd_curves!H113))</f>
        <v>4.06498082836543</v>
      </c>
      <c r="C47" s="221"/>
      <c r="D47" s="221"/>
      <c r="E47" s="0" t="n">
        <f aca="false">IF($A47&lt;$B$23,0,IF($A47&gt;$B$24,0,IF(PJM_deal!$B$9="P",(external_curves!AB30-external_curves!AC30)*16,external_curves!AH30)))</f>
        <v>336</v>
      </c>
      <c r="F47" s="138" t="n">
        <f aca="false">$B$6*H47</f>
        <v>155000</v>
      </c>
      <c r="G47" s="138" t="n">
        <f aca="false">E47*$B$16</f>
        <v>6889.8308753836</v>
      </c>
      <c r="H47" s="0" t="n">
        <f aca="false">IF($A47&lt;$B$23,0,IF($A47&gt;$B$24,0,IF(PJM_deal!$B$9="P",external_curves!X30,external_curves!X30)))</f>
        <v>31</v>
      </c>
      <c r="J47" s="95" t="n">
        <f aca="false">($G$8-((1/($B$8))*$G$9))*F47</f>
        <v>171772.088505323</v>
      </c>
      <c r="K47" s="95" t="n">
        <f aca="false">F47*($B$10-$G$8)</f>
        <v>44950</v>
      </c>
      <c r="L47" s="95" t="n">
        <f aca="false">G47*($G$9-$B$11)</f>
        <v>-209450.858611661</v>
      </c>
      <c r="M47" s="95"/>
      <c r="N47" s="95" t="n">
        <f aca="false">SUM(J47:L47)</f>
        <v>7271.22989366157</v>
      </c>
      <c r="O47" s="95" t="n">
        <f aca="false">N47*B47</f>
        <v>29557.4101163719</v>
      </c>
    </row>
    <row r="48" customFormat="false" ht="12.75" hidden="false" customHeight="false" outlineLevel="0" collapsed="false">
      <c r="A48" s="61" t="n">
        <f aca="false">swap_model!A70</f>
        <v>37073</v>
      </c>
      <c r="B48" s="221" t="n">
        <f aca="false">IF($A48&lt;$B$23,0,IF($A48&gt;$B$24,0,Fwd_curves!H114))</f>
        <v>4.04525776345876</v>
      </c>
      <c r="C48" s="221"/>
      <c r="D48" s="221"/>
      <c r="E48" s="0" t="n">
        <f aca="false">IF($A48&lt;$B$23,0,IF($A48&gt;$B$24,0,IF(PJM_deal!$B$9="P",(external_curves!AB31-external_curves!AC31)*16,external_curves!AH31)))</f>
        <v>368</v>
      </c>
      <c r="F48" s="138" t="n">
        <f aca="false">$B$6*H48</f>
        <v>155000</v>
      </c>
      <c r="G48" s="138" t="n">
        <f aca="false">E48*$B$16</f>
        <v>7546.00524446775</v>
      </c>
      <c r="H48" s="0" t="n">
        <f aca="false">IF($A48&lt;$B$23,0,IF($A48&gt;$B$24,0,IF(PJM_deal!$B$9="P",external_curves!X31,external_curves!X31)))</f>
        <v>31</v>
      </c>
      <c r="J48" s="95" t="n">
        <f aca="false">($G$8-((1/($B$8))*$G$9))*F48</f>
        <v>171772.088505323</v>
      </c>
      <c r="K48" s="95" t="n">
        <f aca="false">F48*($B$10-$G$8)</f>
        <v>44950</v>
      </c>
      <c r="L48" s="95" t="n">
        <f aca="false">G48*($G$9-$B$11)</f>
        <v>-229398.55943182</v>
      </c>
      <c r="M48" s="95"/>
      <c r="N48" s="95" t="n">
        <f aca="false">SUM(J48:L48)</f>
        <v>-12676.4709264966</v>
      </c>
      <c r="O48" s="95" t="n">
        <f aca="false">N48*B48</f>
        <v>-51279.5924286698</v>
      </c>
    </row>
    <row r="49" customFormat="false" ht="12.75" hidden="false" customHeight="false" outlineLevel="0" collapsed="false">
      <c r="A49" s="61" t="n">
        <f aca="false">swap_model!A71</f>
        <v>37104</v>
      </c>
      <c r="B49" s="221" t="n">
        <f aca="false">IF($A49&lt;$B$23,0,IF($A49&gt;$B$24,0,Fwd_curves!H115))</f>
        <v>4.02625422183379</v>
      </c>
      <c r="C49" s="221"/>
      <c r="D49" s="221"/>
      <c r="E49" s="0" t="n">
        <f aca="false">IF($A49&lt;$B$23,0,IF($A49&gt;$B$24,0,IF(PJM_deal!$B$9="P",(external_curves!AB32-external_curves!AC32)*16,external_curves!AH32)))</f>
        <v>304</v>
      </c>
      <c r="F49" s="138" t="n">
        <f aca="false">$B$6*H49</f>
        <v>150000</v>
      </c>
      <c r="G49" s="138" t="n">
        <f aca="false">E49*$B$16</f>
        <v>6233.65650629944</v>
      </c>
      <c r="H49" s="0" t="n">
        <f aca="false">IF($A49&lt;$B$23,0,IF($A49&gt;$B$24,0,IF(PJM_deal!$B$9="P",external_curves!X32,external_curves!X32)))</f>
        <v>30</v>
      </c>
      <c r="J49" s="95" t="n">
        <f aca="false">($G$8-((1/($B$8))*$G$9))*F49</f>
        <v>166231.053392248</v>
      </c>
      <c r="K49" s="95" t="n">
        <f aca="false">F49*($B$10-$G$8)</f>
        <v>43500</v>
      </c>
      <c r="L49" s="95" t="n">
        <f aca="false">G49*($G$9-$B$11)</f>
        <v>-189503.157791503</v>
      </c>
      <c r="M49" s="95"/>
      <c r="N49" s="95" t="n">
        <f aca="false">SUM(J49:L49)</f>
        <v>20227.8956007448</v>
      </c>
      <c r="O49" s="95" t="n">
        <f aca="false">N49*B49</f>
        <v>81442.650061312</v>
      </c>
    </row>
    <row r="50" customFormat="false" ht="12.75" hidden="false" customHeight="false" outlineLevel="0" collapsed="false">
      <c r="A50" s="61" t="n">
        <f aca="false">swap_model!A72</f>
        <v>37135</v>
      </c>
      <c r="B50" s="221" t="n">
        <f aca="false">IF($A50&lt;$B$23,0,IF($A50&gt;$B$24,0,Fwd_curves!H116))</f>
        <v>4.0067029653797</v>
      </c>
      <c r="C50" s="221"/>
      <c r="D50" s="221"/>
      <c r="E50" s="0" t="n">
        <f aca="false">IF($A50&lt;$B$23,0,IF($A50&gt;$B$24,0,IF(PJM_deal!$B$9="P",(external_curves!AB33-external_curves!AC33)*16,external_curves!AH33)))</f>
        <v>368</v>
      </c>
      <c r="F50" s="138" t="n">
        <f aca="false">$B$6*H50</f>
        <v>155000</v>
      </c>
      <c r="G50" s="138" t="n">
        <f aca="false">E50*$B$16</f>
        <v>7546.00524446775</v>
      </c>
      <c r="H50" s="0" t="n">
        <f aca="false">IF($A50&lt;$B$23,0,IF($A50&gt;$B$24,0,IF(PJM_deal!$B$9="P",external_curves!X33,external_curves!X33)))</f>
        <v>31</v>
      </c>
      <c r="J50" s="95" t="n">
        <f aca="false">($G$8-((1/($B$8))*$G$9))*F50</f>
        <v>171772.088505323</v>
      </c>
      <c r="K50" s="95" t="n">
        <f aca="false">F50*($B$10-$G$8)</f>
        <v>44950</v>
      </c>
      <c r="L50" s="95" t="n">
        <f aca="false">G50*($G$9-$B$11)</f>
        <v>-229398.55943182</v>
      </c>
      <c r="M50" s="95"/>
      <c r="N50" s="95" t="n">
        <f aca="false">SUM(J50:L50)</f>
        <v>-12676.4709264966</v>
      </c>
      <c r="O50" s="95" t="n">
        <f aca="false">N50*B50</f>
        <v>-50790.8536517436</v>
      </c>
    </row>
    <row r="51" customFormat="false" ht="12.75" hidden="false" customHeight="false" outlineLevel="0" collapsed="false">
      <c r="A51" s="61" t="n">
        <f aca="false">swap_model!A73</f>
        <v>37165</v>
      </c>
      <c r="B51" s="221" t="n">
        <f aca="false">IF($A51&lt;$B$23,0,IF($A51&gt;$B$24,0,Fwd_curves!H117))</f>
        <v>3.98786504553264</v>
      </c>
      <c r="C51" s="221"/>
      <c r="D51" s="221"/>
      <c r="E51" s="0" t="n">
        <f aca="false">IF($A51&lt;$B$23,0,IF($A51&gt;$B$24,0,IF(PJM_deal!$B$9="P",(external_curves!AB34-external_curves!AC34)*16,external_curves!AH34)))</f>
        <v>336</v>
      </c>
      <c r="F51" s="138" t="n">
        <f aca="false">$B$6*H51</f>
        <v>150000</v>
      </c>
      <c r="G51" s="138" t="n">
        <f aca="false">E51*$B$16</f>
        <v>6889.8308753836</v>
      </c>
      <c r="H51" s="0" t="n">
        <f aca="false">IF($A51&lt;$B$23,0,IF($A51&gt;$B$24,0,IF(PJM_deal!$B$9="P",external_curves!X34,external_curves!X34)))</f>
        <v>30</v>
      </c>
      <c r="J51" s="95" t="n">
        <f aca="false">($G$8-((1/($B$8))*$G$9))*F51</f>
        <v>166231.053392248</v>
      </c>
      <c r="K51" s="95" t="n">
        <f aca="false">F51*($B$10-$G$8)</f>
        <v>43500</v>
      </c>
      <c r="L51" s="95" t="n">
        <f aca="false">G51*($G$9-$B$11)</f>
        <v>-209450.858611661</v>
      </c>
      <c r="M51" s="95"/>
      <c r="N51" s="95" t="n">
        <f aca="false">SUM(J51:L51)</f>
        <v>280.194780586637</v>
      </c>
      <c r="O51" s="95" t="n">
        <f aca="false">N51*B51</f>
        <v>1117.37897144214</v>
      </c>
    </row>
    <row r="52" customFormat="false" ht="12.75" hidden="false" customHeight="false" outlineLevel="0" collapsed="false">
      <c r="A52" s="61" t="n">
        <f aca="false">swap_model!A74</f>
        <v>37196</v>
      </c>
      <c r="B52" s="221" t="n">
        <f aca="false">IF($A52&lt;$B$23,0,IF($A52&gt;$B$24,0,Fwd_curves!H118))</f>
        <v>0</v>
      </c>
      <c r="C52" s="221"/>
      <c r="D52" s="221"/>
      <c r="E52" s="0" t="n">
        <f aca="false">IF($A52&lt;$B$23,0,IF($A52&gt;$B$24,0,IF(PJM_deal!$B$9="P",(external_curves!AB35-external_curves!AC35)*16,external_curves!AH35)))</f>
        <v>0</v>
      </c>
      <c r="F52" s="138" t="n">
        <f aca="false">$B$6*H52</f>
        <v>0</v>
      </c>
      <c r="G52" s="138" t="n">
        <f aca="false">E52*$B$16</f>
        <v>0</v>
      </c>
      <c r="H52" s="0" t="n">
        <f aca="false">IF($A52&lt;$B$23,0,IF($A52&gt;$B$24,0,IF(PJM_deal!$B$9="P",external_curves!X35,external_curves!X35)))</f>
        <v>0</v>
      </c>
      <c r="J52" s="95" t="n">
        <f aca="false">($G$8-((1/($B$8))*$G$9))*F52</f>
        <v>0</v>
      </c>
      <c r="K52" s="95" t="n">
        <f aca="false">F52*($B$10-$G$8)</f>
        <v>0</v>
      </c>
      <c r="L52" s="95" t="n">
        <f aca="false">G52*($G$9-$B$11)</f>
        <v>-0</v>
      </c>
      <c r="M52" s="95"/>
      <c r="N52" s="95" t="n">
        <f aca="false">SUM(J52:L52)</f>
        <v>0</v>
      </c>
      <c r="O52" s="95" t="n">
        <f aca="false">N52*B52</f>
        <v>0</v>
      </c>
    </row>
    <row r="53" customFormat="false" ht="12.75" hidden="false" customHeight="false" outlineLevel="0" collapsed="false">
      <c r="A53" s="61" t="n">
        <f aca="false">swap_model!A75</f>
        <v>37226</v>
      </c>
      <c r="B53" s="221" t="n">
        <f aca="false">IF($A53&lt;$B$23,0,IF($A53&gt;$B$24,0,Fwd_curves!H119))</f>
        <v>0</v>
      </c>
      <c r="C53" s="221"/>
      <c r="D53" s="221"/>
      <c r="E53" s="0" t="n">
        <f aca="false">IF($A53&lt;$B$23,0,IF($A53&gt;$B$24,0,IF(PJM_deal!$B$9="P",external_curves!AI36,external_curves!AH36)))</f>
        <v>0</v>
      </c>
      <c r="F53" s="138" t="n">
        <f aca="false">$B$6*H53</f>
        <v>0</v>
      </c>
      <c r="G53" s="138" t="n">
        <f aca="false">E53*$B$16</f>
        <v>0</v>
      </c>
      <c r="H53" s="0" t="n">
        <f aca="false">IF($A53&lt;$B$23,0,IF($A53&gt;$B$24,0,IF(PJM_deal!$B$9="P",external_curves!X36,external_curves!X36)))</f>
        <v>0</v>
      </c>
      <c r="J53" s="95" t="n">
        <f aca="false">($G$8-((1/($B$8))*$G$9))*F53</f>
        <v>0</v>
      </c>
      <c r="K53" s="95" t="n">
        <f aca="false">F53*($B$10-$G$8)</f>
        <v>0</v>
      </c>
      <c r="L53" s="95" t="n">
        <f aca="false">G53*($G$9-$B$11)</f>
        <v>-0</v>
      </c>
      <c r="M53" s="95"/>
      <c r="N53" s="95" t="n">
        <f aca="false">SUM(J53:L53)</f>
        <v>0</v>
      </c>
      <c r="O53" s="95" t="n">
        <f aca="false">N53*B53</f>
        <v>0</v>
      </c>
    </row>
    <row r="54" customFormat="false" ht="12.75" hidden="false" customHeight="false" outlineLevel="0" collapsed="false">
      <c r="A54" s="61"/>
    </row>
    <row r="55" customFormat="false" ht="12.75" hidden="false" customHeight="false" outlineLevel="0" collapsed="false">
      <c r="A55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9.28"/>
    <col collapsed="false" customWidth="true" hidden="false" outlineLevel="0" max="10" min="10" style="0" width="13.99"/>
    <col collapsed="false" customWidth="true" hidden="false" outlineLevel="0" max="15" min="12" style="9" width="9.14"/>
  </cols>
  <sheetData>
    <row r="1" customFormat="false" ht="12.75" hidden="false" customHeight="false" outlineLevel="0" collapsed="false">
      <c r="A1" s="1" t="str">
        <f aca="false">+[2]Peak!A1</f>
        <v>ref_dt</v>
      </c>
      <c r="B1" s="1" t="str">
        <f aca="false">+[2]Peak!B1</f>
        <v>Book_ID</v>
      </c>
      <c r="C1" s="1" t="str">
        <f aca="false">+[2]Peak!C1</f>
        <v>book_type_cd</v>
      </c>
      <c r="D1" s="1" t="str">
        <f aca="false">+[2]Peak!D1</f>
        <v>reg_cd</v>
      </c>
      <c r="E1" s="1" t="str">
        <f aca="false">+[2]Peak!E1</f>
        <v>instr</v>
      </c>
      <c r="F1" s="1" t="str">
        <f aca="false">+[2]Peak!F1</f>
        <v>commodity</v>
      </c>
      <c r="G1" s="1" t="str">
        <f aca="false">+[2]Peak!G1</f>
        <v>F/P</v>
      </c>
      <c r="H1" s="1" t="str">
        <f aca="false">+[2]Peak!H1</f>
        <v>Location</v>
      </c>
      <c r="I1" s="1" t="str">
        <f aca="false">+[2]Peak!I1</f>
        <v>E/O</v>
      </c>
      <c r="J1" s="1" t="str">
        <f aca="false">+[2]Peak!J1</f>
        <v>ctrparty_cd</v>
      </c>
      <c r="K1" s="1" t="str">
        <f aca="false">+[2]Peak!K1</f>
        <v>Delta</v>
      </c>
      <c r="L1" s="10" t="str">
        <f aca="false">+[2]Peak!L1</f>
        <v>Gamma</v>
      </c>
      <c r="M1" s="10" t="str">
        <f aca="false">+[2]Peak!M1</f>
        <v>Gross_pos</v>
      </c>
      <c r="N1" s="10" t="str">
        <f aca="false">+[2]Peak!N1</f>
        <v>Crv_shift</v>
      </c>
      <c r="O1" s="10" t="str">
        <f aca="false">+[2]Peak!O1</f>
        <v>Baseline P/L</v>
      </c>
      <c r="P1" s="1" t="str">
        <f aca="false">+[2]Peak!P1</f>
        <v>Peakness</v>
      </c>
    </row>
    <row r="2" customFormat="false" ht="12.75" hidden="false" customHeight="false" outlineLevel="0" collapsed="false">
      <c r="A2" s="11" t="n">
        <f aca="false">+[3]Peak!A3</f>
        <v>36678</v>
      </c>
      <c r="B2" s="12" t="str">
        <f aca="false">+[4]Peak!B3</f>
        <v>FT-CAN-PWRF-HDGI-PRC</v>
      </c>
      <c r="C2" s="12" t="str">
        <f aca="false">+[3]Peak!C3</f>
        <v>P</v>
      </c>
      <c r="D2" s="12" t="str">
        <f aca="false">+[3]Peak!D3</f>
        <v>DESK</v>
      </c>
      <c r="E2" s="12" t="str">
        <f aca="false">+[3]Peak!E3</f>
        <v>S</v>
      </c>
      <c r="F2" s="12" t="str">
        <f aca="false">+[3]Peak!F3</f>
        <v>PWR</v>
      </c>
      <c r="G2" s="12" t="str">
        <f aca="false">+[3]Peak!G3</f>
        <v>P</v>
      </c>
      <c r="H2" s="12" t="str">
        <f aca="false">+[3]Peak!H3</f>
        <v>R9</v>
      </c>
      <c r="I2" s="12" t="str">
        <f aca="false">+[3]Peak!I3</f>
        <v>O</v>
      </c>
      <c r="J2" s="12" t="str">
        <f aca="false">+[3]Peak!J3</f>
        <v>PWRCAN</v>
      </c>
      <c r="K2" s="13" t="n">
        <f aca="false">+Peak!K2</f>
        <v>-2925</v>
      </c>
      <c r="L2" s="12" t="n">
        <f aca="false">+[3]Peak!L3</f>
        <v>0</v>
      </c>
      <c r="M2" s="12" t="n">
        <f aca="false">+[3]Peak!M3</f>
        <v>0</v>
      </c>
      <c r="N2" s="12" t="n">
        <f aca="false">+[3]Peak!N3</f>
        <v>0</v>
      </c>
      <c r="O2" s="12" t="n">
        <f aca="false">+[3]Peak!O3</f>
        <v>0</v>
      </c>
      <c r="P2" s="12" t="str">
        <f aca="false">+[3]Peak!P3</f>
        <v>P</v>
      </c>
    </row>
    <row r="3" customFormat="false" ht="12.75" hidden="false" customHeight="false" outlineLevel="0" collapsed="false">
      <c r="A3" s="11" t="n">
        <f aca="false">+[3]Peak!A4</f>
        <v>36708</v>
      </c>
      <c r="B3" s="12" t="str">
        <f aca="false">+[4]Peak!B4</f>
        <v>FT-CAN-PWRF-HDGI-PRC</v>
      </c>
      <c r="C3" s="12" t="str">
        <f aca="false">+[3]Peak!C4</f>
        <v>P</v>
      </c>
      <c r="D3" s="12" t="str">
        <f aca="false">+[3]Peak!D4</f>
        <v>DESK</v>
      </c>
      <c r="E3" s="12" t="str">
        <f aca="false">+[3]Peak!E4</f>
        <v>S</v>
      </c>
      <c r="F3" s="12" t="str">
        <f aca="false">+[3]Peak!F4</f>
        <v>PWR</v>
      </c>
      <c r="G3" s="12" t="str">
        <f aca="false">+[3]Peak!G4</f>
        <v>P</v>
      </c>
      <c r="H3" s="12" t="str">
        <f aca="false">+[3]Peak!H4</f>
        <v>R9</v>
      </c>
      <c r="I3" s="12" t="str">
        <f aca="false">+[3]Peak!I4</f>
        <v>O</v>
      </c>
      <c r="J3" s="12" t="str">
        <f aca="false">+[3]Peak!J4</f>
        <v>PWRCAN</v>
      </c>
      <c r="K3" s="13" t="n">
        <f aca="false">+Peak!K3</f>
        <v>0</v>
      </c>
      <c r="L3" s="12" t="n">
        <f aca="false">+[3]Peak!L4</f>
        <v>0</v>
      </c>
      <c r="M3" s="12" t="n">
        <f aca="false">+[3]Peak!M4</f>
        <v>0</v>
      </c>
      <c r="N3" s="12" t="n">
        <f aca="false">+[3]Peak!N4</f>
        <v>0</v>
      </c>
      <c r="O3" s="12" t="n">
        <f aca="false">+[3]Peak!O4</f>
        <v>0</v>
      </c>
      <c r="P3" s="12" t="str">
        <f aca="false">+[3]Peak!P4</f>
        <v>P</v>
      </c>
    </row>
    <row r="4" customFormat="false" ht="12.75" hidden="false" customHeight="false" outlineLevel="0" collapsed="false">
      <c r="A4" s="11" t="n">
        <f aca="false">+[3]Peak!A5</f>
        <v>36739</v>
      </c>
      <c r="B4" s="12" t="str">
        <f aca="false">+[4]Peak!B5</f>
        <v>FT-CAN-PWRF-HDGI-PRC</v>
      </c>
      <c r="C4" s="12" t="str">
        <f aca="false">+[3]Peak!C5</f>
        <v>P</v>
      </c>
      <c r="D4" s="12" t="str">
        <f aca="false">+[3]Peak!D5</f>
        <v>DESK</v>
      </c>
      <c r="E4" s="12" t="str">
        <f aca="false">+[3]Peak!E5</f>
        <v>S</v>
      </c>
      <c r="F4" s="12" t="str">
        <f aca="false">+[3]Peak!F5</f>
        <v>PWR</v>
      </c>
      <c r="G4" s="12" t="str">
        <f aca="false">+[3]Peak!G5</f>
        <v>P</v>
      </c>
      <c r="H4" s="12" t="str">
        <f aca="false">+[3]Peak!H5</f>
        <v>R9</v>
      </c>
      <c r="I4" s="12" t="str">
        <f aca="false">+[3]Peak!I5</f>
        <v>O</v>
      </c>
      <c r="J4" s="12" t="str">
        <f aca="false">+[3]Peak!J5</f>
        <v>PWRCAN</v>
      </c>
      <c r="K4" s="13" t="n">
        <f aca="false">+Peak!K4</f>
        <v>0</v>
      </c>
      <c r="L4" s="12" t="n">
        <f aca="false">+[3]Peak!L5</f>
        <v>0</v>
      </c>
      <c r="M4" s="12" t="n">
        <f aca="false">+[3]Peak!M5</f>
        <v>0</v>
      </c>
      <c r="N4" s="12" t="n">
        <f aca="false">+[3]Peak!N5</f>
        <v>0</v>
      </c>
      <c r="O4" s="12" t="n">
        <f aca="false">+[3]Peak!O5</f>
        <v>0</v>
      </c>
      <c r="P4" s="12" t="str">
        <f aca="false">+[3]Peak!P5</f>
        <v>P</v>
      </c>
    </row>
    <row r="5" customFormat="false" ht="12.75" hidden="false" customHeight="false" outlineLevel="0" collapsed="false">
      <c r="A5" s="11" t="n">
        <f aca="false">+[3]Peak!A6</f>
        <v>36770</v>
      </c>
      <c r="B5" s="12" t="str">
        <f aca="false">+[4]Peak!B6</f>
        <v>FT-CAN-PWRF-HDGI-PRC</v>
      </c>
      <c r="C5" s="12" t="str">
        <f aca="false">+[3]Peak!C6</f>
        <v>P</v>
      </c>
      <c r="D5" s="12" t="str">
        <f aca="false">+[3]Peak!D6</f>
        <v>DESK</v>
      </c>
      <c r="E5" s="12" t="str">
        <f aca="false">+[3]Peak!E6</f>
        <v>S</v>
      </c>
      <c r="F5" s="12" t="str">
        <f aca="false">+[3]Peak!F6</f>
        <v>PWR</v>
      </c>
      <c r="G5" s="12" t="str">
        <f aca="false">+[3]Peak!G6</f>
        <v>P</v>
      </c>
      <c r="H5" s="12" t="str">
        <f aca="false">+[3]Peak!H6</f>
        <v>R9</v>
      </c>
      <c r="I5" s="12" t="str">
        <f aca="false">+[3]Peak!I6</f>
        <v>O</v>
      </c>
      <c r="J5" s="12" t="str">
        <f aca="false">+[3]Peak!J6</f>
        <v>PWRCAN</v>
      </c>
      <c r="K5" s="13" t="n">
        <f aca="false">+Peak!K5</f>
        <v>0</v>
      </c>
      <c r="L5" s="12" t="n">
        <f aca="false">+[3]Peak!L6</f>
        <v>0</v>
      </c>
      <c r="M5" s="12" t="n">
        <f aca="false">+[3]Peak!M6</f>
        <v>0</v>
      </c>
      <c r="N5" s="12" t="n">
        <f aca="false">+[3]Peak!N6</f>
        <v>0</v>
      </c>
      <c r="O5" s="12" t="n">
        <f aca="false">+[3]Peak!O6</f>
        <v>0</v>
      </c>
      <c r="P5" s="12" t="str">
        <f aca="false">+[3]Peak!P6</f>
        <v>P</v>
      </c>
    </row>
    <row r="6" customFormat="false" ht="12.75" hidden="false" customHeight="false" outlineLevel="0" collapsed="false">
      <c r="A6" s="11" t="n">
        <f aca="false">+[3]Peak!A7</f>
        <v>36800</v>
      </c>
      <c r="B6" s="12" t="str">
        <f aca="false">+[4]Peak!B7</f>
        <v>FT-CAN-PWRF-HDGI-PRC</v>
      </c>
      <c r="C6" s="12" t="str">
        <f aca="false">+[3]Peak!C7</f>
        <v>P</v>
      </c>
      <c r="D6" s="12" t="str">
        <f aca="false">+[3]Peak!D7</f>
        <v>DESK</v>
      </c>
      <c r="E6" s="12" t="str">
        <f aca="false">+[3]Peak!E7</f>
        <v>S</v>
      </c>
      <c r="F6" s="12" t="str">
        <f aca="false">+[3]Peak!F7</f>
        <v>PWR</v>
      </c>
      <c r="G6" s="12" t="str">
        <f aca="false">+[3]Peak!G7</f>
        <v>P</v>
      </c>
      <c r="H6" s="12" t="str">
        <f aca="false">+[3]Peak!H7</f>
        <v>R9</v>
      </c>
      <c r="I6" s="12" t="str">
        <f aca="false">+[3]Peak!I7</f>
        <v>O</v>
      </c>
      <c r="J6" s="12" t="str">
        <f aca="false">+[3]Peak!J7</f>
        <v>PWRCAN</v>
      </c>
      <c r="K6" s="13" t="n">
        <f aca="false">+Peak!K6</f>
        <v>-7150</v>
      </c>
      <c r="L6" s="12" t="n">
        <f aca="false">+[3]Peak!L7</f>
        <v>0</v>
      </c>
      <c r="M6" s="12" t="n">
        <f aca="false">+[3]Peak!M7</f>
        <v>0</v>
      </c>
      <c r="N6" s="12" t="n">
        <f aca="false">+[3]Peak!N7</f>
        <v>0</v>
      </c>
      <c r="O6" s="12" t="n">
        <f aca="false">+[3]Peak!O7</f>
        <v>0</v>
      </c>
      <c r="P6" s="12" t="str">
        <f aca="false">+[3]Peak!P7</f>
        <v>P</v>
      </c>
    </row>
    <row r="7" customFormat="false" ht="12.75" hidden="false" customHeight="false" outlineLevel="0" collapsed="false">
      <c r="A7" s="11" t="n">
        <f aca="false">+[3]Peak!A8</f>
        <v>36831</v>
      </c>
      <c r="B7" s="12" t="str">
        <f aca="false">+[4]Peak!B8</f>
        <v>FT-CAN-PWRF-HDGI-PRC</v>
      </c>
      <c r="C7" s="12" t="str">
        <f aca="false">+[3]Peak!C8</f>
        <v>P</v>
      </c>
      <c r="D7" s="12" t="str">
        <f aca="false">+[3]Peak!D8</f>
        <v>DESK</v>
      </c>
      <c r="E7" s="12" t="str">
        <f aca="false">+[3]Peak!E8</f>
        <v>S</v>
      </c>
      <c r="F7" s="12" t="str">
        <f aca="false">+[3]Peak!F8</f>
        <v>PWR</v>
      </c>
      <c r="G7" s="12" t="str">
        <f aca="false">+[3]Peak!G8</f>
        <v>P</v>
      </c>
      <c r="H7" s="12" t="str">
        <f aca="false">+[3]Peak!H8</f>
        <v>R9</v>
      </c>
      <c r="I7" s="12" t="str">
        <f aca="false">+[3]Peak!I8</f>
        <v>O</v>
      </c>
      <c r="J7" s="12" t="str">
        <f aca="false">+[3]Peak!J8</f>
        <v>PWRCAN</v>
      </c>
      <c r="K7" s="13" t="n">
        <f aca="false">+Peak!K7</f>
        <v>0</v>
      </c>
      <c r="L7" s="12" t="n">
        <f aca="false">+[3]Peak!L8</f>
        <v>0</v>
      </c>
      <c r="M7" s="12" t="n">
        <f aca="false">+[3]Peak!M8</f>
        <v>0</v>
      </c>
      <c r="N7" s="12" t="n">
        <f aca="false">+[3]Peak!N8</f>
        <v>0</v>
      </c>
      <c r="O7" s="12" t="n">
        <f aca="false">+[3]Peak!O8</f>
        <v>0</v>
      </c>
      <c r="P7" s="12" t="str">
        <f aca="false">+[3]Peak!P8</f>
        <v>P</v>
      </c>
    </row>
    <row r="8" customFormat="false" ht="12.75" hidden="false" customHeight="false" outlineLevel="0" collapsed="false">
      <c r="A8" s="11" t="n">
        <f aca="false">+[3]Peak!A9</f>
        <v>36861</v>
      </c>
      <c r="B8" s="12" t="str">
        <f aca="false">+[4]Peak!B9</f>
        <v>FT-CAN-PWRF-HDGI-PRC</v>
      </c>
      <c r="C8" s="12" t="str">
        <f aca="false">+[3]Peak!C9</f>
        <v>P</v>
      </c>
      <c r="D8" s="12" t="str">
        <f aca="false">+[3]Peak!D9</f>
        <v>DESK</v>
      </c>
      <c r="E8" s="12" t="str">
        <f aca="false">+[3]Peak!E9</f>
        <v>S</v>
      </c>
      <c r="F8" s="12" t="str">
        <f aca="false">+[3]Peak!F9</f>
        <v>PWR</v>
      </c>
      <c r="G8" s="12" t="str">
        <f aca="false">+[3]Peak!G9</f>
        <v>P</v>
      </c>
      <c r="H8" s="12" t="str">
        <f aca="false">+[3]Peak!H9</f>
        <v>R9</v>
      </c>
      <c r="I8" s="12" t="str">
        <f aca="false">+[3]Peak!I9</f>
        <v>O</v>
      </c>
      <c r="J8" s="12" t="str">
        <f aca="false">+[3]Peak!J9</f>
        <v>PWRCAN</v>
      </c>
      <c r="K8" s="13" t="n">
        <f aca="false">+Peak!K8</f>
        <v>0</v>
      </c>
      <c r="L8" s="12" t="n">
        <f aca="false">+[3]Peak!L9</f>
        <v>0</v>
      </c>
      <c r="M8" s="12" t="n">
        <f aca="false">+[3]Peak!M9</f>
        <v>0</v>
      </c>
      <c r="N8" s="12" t="n">
        <f aca="false">+[3]Peak!N9</f>
        <v>0</v>
      </c>
      <c r="O8" s="12" t="n">
        <f aca="false">+[3]Peak!O9</f>
        <v>0</v>
      </c>
      <c r="P8" s="12" t="str">
        <f aca="false">+[3]Peak!P9</f>
        <v>P</v>
      </c>
    </row>
    <row r="9" customFormat="false" ht="12.75" hidden="false" customHeight="false" outlineLevel="0" collapsed="false">
      <c r="A9" s="11" t="n">
        <f aca="false">+[3]Peak!A11</f>
        <v>36678</v>
      </c>
      <c r="B9" s="12" t="str">
        <f aca="false">+[4]Peak!B11</f>
        <v>FT-CAN-PWRF-HDGI-PRC</v>
      </c>
      <c r="C9" s="12" t="str">
        <f aca="false">+[3]Peak!C11</f>
        <v>P</v>
      </c>
      <c r="D9" s="12" t="str">
        <f aca="false">+[3]Peak!D11</f>
        <v>DESK</v>
      </c>
      <c r="E9" s="12" t="str">
        <f aca="false">+[3]Peak!E11</f>
        <v>S</v>
      </c>
      <c r="F9" s="12" t="str">
        <f aca="false">+[3]Peak!F11</f>
        <v>PWR</v>
      </c>
      <c r="G9" s="12" t="str">
        <f aca="false">+[3]Peak!G11</f>
        <v>P</v>
      </c>
      <c r="H9" s="12" t="str">
        <f aca="false">+[3]Peak!H11</f>
        <v>R9</v>
      </c>
      <c r="I9" s="12" t="str">
        <f aca="false">+[3]Peak!I11</f>
        <v>O</v>
      </c>
      <c r="J9" s="12" t="str">
        <f aca="false">+[3]Peak!J11</f>
        <v>PWRCAN</v>
      </c>
      <c r="K9" s="13" t="n">
        <f aca="false">+Peak!K9</f>
        <v>-7350</v>
      </c>
      <c r="L9" s="12" t="n">
        <f aca="false">+[3]Peak!L11</f>
        <v>0</v>
      </c>
      <c r="M9" s="12" t="n">
        <f aca="false">+[3]Peak!M11</f>
        <v>0</v>
      </c>
      <c r="N9" s="12" t="n">
        <f aca="false">+[3]Peak!N11</f>
        <v>0</v>
      </c>
      <c r="O9" s="12" t="n">
        <f aca="false">+[3]Peak!O11</f>
        <v>0</v>
      </c>
      <c r="P9" s="12" t="str">
        <f aca="false">+[3]Peak!P11</f>
        <v>P</v>
      </c>
    </row>
    <row r="10" customFormat="false" ht="12.75" hidden="false" customHeight="false" outlineLevel="0" collapsed="false">
      <c r="A10" s="11" t="n">
        <f aca="false">+[3]Peak!A12</f>
        <v>36708</v>
      </c>
      <c r="B10" s="12" t="str">
        <f aca="false">+[4]Peak!B12</f>
        <v>FT-CAN-PWRF-HDGI-PRC</v>
      </c>
      <c r="C10" s="12" t="str">
        <f aca="false">+[3]Peak!C12</f>
        <v>P</v>
      </c>
      <c r="D10" s="12" t="str">
        <f aca="false">+[3]Peak!D12</f>
        <v>DESK</v>
      </c>
      <c r="E10" s="12" t="str">
        <f aca="false">+[3]Peak!E12</f>
        <v>S</v>
      </c>
      <c r="F10" s="12" t="str">
        <f aca="false">+[3]Peak!F12</f>
        <v>PWR</v>
      </c>
      <c r="G10" s="12" t="str">
        <f aca="false">+[3]Peak!G12</f>
        <v>P</v>
      </c>
      <c r="H10" s="12" t="str">
        <f aca="false">+[3]Peak!H12</f>
        <v>R9</v>
      </c>
      <c r="I10" s="12" t="str">
        <f aca="false">+[3]Peak!I12</f>
        <v>O</v>
      </c>
      <c r="J10" s="12" t="str">
        <f aca="false">+[3]Peak!J12</f>
        <v>PWRCAN</v>
      </c>
      <c r="K10" s="13" t="n">
        <f aca="false">+Peak!K10</f>
        <v>-11775</v>
      </c>
      <c r="L10" s="12" t="n">
        <f aca="false">+[3]Peak!L12</f>
        <v>0</v>
      </c>
      <c r="M10" s="12" t="n">
        <f aca="false">+[3]Peak!M12</f>
        <v>0</v>
      </c>
      <c r="N10" s="12" t="n">
        <f aca="false">+[3]Peak!N12</f>
        <v>0</v>
      </c>
      <c r="O10" s="12" t="n">
        <f aca="false">+[3]Peak!O12</f>
        <v>0</v>
      </c>
      <c r="P10" s="12" t="str">
        <f aca="false">+[3]Peak!P12</f>
        <v>P</v>
      </c>
    </row>
    <row r="11" customFormat="false" ht="12.75" hidden="false" customHeight="false" outlineLevel="0" collapsed="false">
      <c r="A11" s="11" t="n">
        <f aca="false">+[3]Peak!A13</f>
        <v>36739</v>
      </c>
      <c r="B11" s="12" t="str">
        <f aca="false">+[4]Peak!B13</f>
        <v>FT-CAN-PWRF-HDGI-PRC</v>
      </c>
      <c r="C11" s="12" t="str">
        <f aca="false">+[3]Peak!C13</f>
        <v>P</v>
      </c>
      <c r="D11" s="12" t="str">
        <f aca="false">+[3]Peak!D13</f>
        <v>DESK</v>
      </c>
      <c r="E11" s="12" t="str">
        <f aca="false">+[3]Peak!E13</f>
        <v>S</v>
      </c>
      <c r="F11" s="12" t="str">
        <f aca="false">+[3]Peak!F13</f>
        <v>PWR</v>
      </c>
      <c r="G11" s="12" t="str">
        <f aca="false">+[3]Peak!G13</f>
        <v>P</v>
      </c>
      <c r="H11" s="12" t="str">
        <f aca="false">+[3]Peak!H13</f>
        <v>R9</v>
      </c>
      <c r="I11" s="12" t="str">
        <f aca="false">+[3]Peak!I13</f>
        <v>O</v>
      </c>
      <c r="J11" s="12" t="str">
        <f aca="false">+[3]Peak!J13</f>
        <v>PWRCAN</v>
      </c>
      <c r="K11" s="13" t="n">
        <f aca="false">+Peak!K11</f>
        <v>-11125</v>
      </c>
      <c r="L11" s="12" t="n">
        <f aca="false">+[3]Peak!L13</f>
        <v>0</v>
      </c>
      <c r="M11" s="12" t="n">
        <f aca="false">+[3]Peak!M13</f>
        <v>0</v>
      </c>
      <c r="N11" s="12" t="n">
        <f aca="false">+[3]Peak!N13</f>
        <v>0</v>
      </c>
      <c r="O11" s="12" t="n">
        <f aca="false">+[3]Peak!O13</f>
        <v>0</v>
      </c>
      <c r="P11" s="12" t="str">
        <f aca="false">+[3]Peak!P13</f>
        <v>P</v>
      </c>
    </row>
    <row r="12" customFormat="false" ht="12.75" hidden="false" customHeight="false" outlineLevel="0" collapsed="false">
      <c r="A12" s="11" t="n">
        <f aca="false">+[3]Peak!A14</f>
        <v>36770</v>
      </c>
      <c r="B12" s="12" t="str">
        <f aca="false">+[4]Peak!B14</f>
        <v>FT-CAN-PWRF-HDGI-PRC</v>
      </c>
      <c r="C12" s="12" t="str">
        <f aca="false">+[3]Peak!C14</f>
        <v>P</v>
      </c>
      <c r="D12" s="12" t="str">
        <f aca="false">+[3]Peak!D14</f>
        <v>DESK</v>
      </c>
      <c r="E12" s="12" t="str">
        <f aca="false">+[3]Peak!E14</f>
        <v>S</v>
      </c>
      <c r="F12" s="12" t="str">
        <f aca="false">+[3]Peak!F14</f>
        <v>PWR</v>
      </c>
      <c r="G12" s="12" t="str">
        <f aca="false">+[3]Peak!G14</f>
        <v>P</v>
      </c>
      <c r="H12" s="12" t="str">
        <f aca="false">+[3]Peak!H14</f>
        <v>R9</v>
      </c>
      <c r="I12" s="12" t="str">
        <f aca="false">+[3]Peak!I14</f>
        <v>O</v>
      </c>
      <c r="J12" s="12" t="str">
        <f aca="false">+[3]Peak!J14</f>
        <v>PWRCAN</v>
      </c>
      <c r="K12" s="13" t="n">
        <f aca="false">+Peak!K12</f>
        <v>-11175</v>
      </c>
      <c r="L12" s="12" t="n">
        <f aca="false">+[3]Peak!L14</f>
        <v>0</v>
      </c>
      <c r="M12" s="12" t="n">
        <f aca="false">+[3]Peak!M14</f>
        <v>0</v>
      </c>
      <c r="N12" s="12" t="n">
        <f aca="false">+[3]Peak!N14</f>
        <v>0</v>
      </c>
      <c r="O12" s="12" t="n">
        <f aca="false">+[3]Peak!O14</f>
        <v>0</v>
      </c>
      <c r="P12" s="12" t="str">
        <f aca="false">+[3]Peak!P14</f>
        <v>P</v>
      </c>
    </row>
    <row r="13" customFormat="false" ht="12.75" hidden="false" customHeight="false" outlineLevel="0" collapsed="false">
      <c r="A13" s="11" t="n">
        <f aca="false">+[3]Peak!A15</f>
        <v>36800</v>
      </c>
      <c r="B13" s="12" t="str">
        <f aca="false">+[4]Peak!B15</f>
        <v>FT-CAN-PWRF-HDGI-PRC</v>
      </c>
      <c r="C13" s="12" t="str">
        <f aca="false">+[3]Peak!C15</f>
        <v>P</v>
      </c>
      <c r="D13" s="12" t="str">
        <f aca="false">+[3]Peak!D15</f>
        <v>DESK</v>
      </c>
      <c r="E13" s="12" t="str">
        <f aca="false">+[3]Peak!E15</f>
        <v>S</v>
      </c>
      <c r="F13" s="12" t="str">
        <f aca="false">+[3]Peak!F15</f>
        <v>PWR</v>
      </c>
      <c r="G13" s="12" t="str">
        <f aca="false">+[3]Peak!G15</f>
        <v>P</v>
      </c>
      <c r="H13" s="12" t="str">
        <f aca="false">+[3]Peak!H15</f>
        <v>R9</v>
      </c>
      <c r="I13" s="12" t="str">
        <f aca="false">+[3]Peak!I15</f>
        <v>O</v>
      </c>
      <c r="J13" s="12" t="str">
        <f aca="false">+[3]Peak!J15</f>
        <v>PWRCAN</v>
      </c>
      <c r="K13" s="13" t="n">
        <f aca="false">+Peak!K13</f>
        <v>-11450</v>
      </c>
      <c r="L13" s="12" t="n">
        <f aca="false">+[3]Peak!L15</f>
        <v>0</v>
      </c>
      <c r="M13" s="12" t="n">
        <f aca="false">+[3]Peak!M15</f>
        <v>0</v>
      </c>
      <c r="N13" s="12" t="n">
        <f aca="false">+[3]Peak!N15</f>
        <v>0</v>
      </c>
      <c r="O13" s="12" t="n">
        <f aca="false">+[3]Peak!O15</f>
        <v>0</v>
      </c>
      <c r="P13" s="12" t="str">
        <f aca="false">+[3]Peak!P15</f>
        <v>P</v>
      </c>
    </row>
    <row r="14" customFormat="false" ht="12.75" hidden="false" customHeight="false" outlineLevel="0" collapsed="false">
      <c r="A14" s="11" t="n">
        <f aca="false">+[3]Peak!A16</f>
        <v>36831</v>
      </c>
      <c r="B14" s="12" t="str">
        <f aca="false">+[4]Peak!B16</f>
        <v>FT-CAN-PWRF-HDGI-PRC</v>
      </c>
      <c r="C14" s="12" t="str">
        <f aca="false">+[3]Peak!C16</f>
        <v>P</v>
      </c>
      <c r="D14" s="12" t="str">
        <f aca="false">+[3]Peak!D16</f>
        <v>DESK</v>
      </c>
      <c r="E14" s="12" t="str">
        <f aca="false">+[3]Peak!E16</f>
        <v>S</v>
      </c>
      <c r="F14" s="12" t="str">
        <f aca="false">+[3]Peak!F16</f>
        <v>PWR</v>
      </c>
      <c r="G14" s="12" t="str">
        <f aca="false">+[3]Peak!G16</f>
        <v>P</v>
      </c>
      <c r="H14" s="12" t="str">
        <f aca="false">+[3]Peak!H16</f>
        <v>R9</v>
      </c>
      <c r="I14" s="12" t="str">
        <f aca="false">+[3]Peak!I16</f>
        <v>O</v>
      </c>
      <c r="J14" s="12" t="str">
        <f aca="false">+[3]Peak!J16</f>
        <v>PWRCAN</v>
      </c>
      <c r="K14" s="13" t="n">
        <f aca="false">+Peak!K14</f>
        <v>0</v>
      </c>
      <c r="L14" s="12" t="n">
        <f aca="false">+[3]Peak!L16</f>
        <v>0</v>
      </c>
      <c r="M14" s="12" t="n">
        <f aca="false">+[3]Peak!M16</f>
        <v>0</v>
      </c>
      <c r="N14" s="12" t="n">
        <f aca="false">+[3]Peak!N16</f>
        <v>0</v>
      </c>
      <c r="O14" s="12" t="n">
        <f aca="false">+[3]Peak!O16</f>
        <v>0</v>
      </c>
      <c r="P14" s="12" t="str">
        <f aca="false">+[3]Peak!P16</f>
        <v>P</v>
      </c>
    </row>
    <row r="15" customFormat="false" ht="12.75" hidden="false" customHeight="false" outlineLevel="0" collapsed="false">
      <c r="A15" s="11" t="n">
        <f aca="false">+[3]Peak!A17</f>
        <v>36861</v>
      </c>
      <c r="B15" s="12" t="str">
        <f aca="false">+[4]Peak!B17</f>
        <v>FT-CAN-PWRF-HDGI-PRC</v>
      </c>
      <c r="C15" s="12" t="str">
        <f aca="false">+[3]Peak!C17</f>
        <v>P</v>
      </c>
      <c r="D15" s="12" t="str">
        <f aca="false">+[3]Peak!D17</f>
        <v>DESK</v>
      </c>
      <c r="E15" s="12" t="str">
        <f aca="false">+[3]Peak!E17</f>
        <v>S</v>
      </c>
      <c r="F15" s="12" t="str">
        <f aca="false">+[3]Peak!F17</f>
        <v>PWR</v>
      </c>
      <c r="G15" s="12" t="str">
        <f aca="false">+[3]Peak!G17</f>
        <v>P</v>
      </c>
      <c r="H15" s="12" t="str">
        <f aca="false">+[3]Peak!H17</f>
        <v>R9</v>
      </c>
      <c r="I15" s="12" t="str">
        <f aca="false">+[3]Peak!I17</f>
        <v>O</v>
      </c>
      <c r="J15" s="12" t="str">
        <f aca="false">+[3]Peak!J17</f>
        <v>PWRCAN</v>
      </c>
      <c r="K15" s="13" t="n">
        <f aca="false">+Peak!K15</f>
        <v>0</v>
      </c>
      <c r="L15" s="12" t="n">
        <f aca="false">+[3]Peak!L17</f>
        <v>0</v>
      </c>
      <c r="M15" s="12" t="n">
        <f aca="false">+[3]Peak!M17</f>
        <v>0</v>
      </c>
      <c r="N15" s="12" t="n">
        <f aca="false">+[3]Peak!N17</f>
        <v>0</v>
      </c>
      <c r="O15" s="12" t="n">
        <f aca="false">+[3]Peak!O17</f>
        <v>0</v>
      </c>
      <c r="P15" s="12" t="str">
        <f aca="false">+[3]Peak!P17</f>
        <v>P</v>
      </c>
    </row>
    <row r="16" customFormat="false" ht="12.75" hidden="false" customHeight="false" outlineLevel="0" collapsed="false">
      <c r="A16" s="11" t="n">
        <f aca="false">+'[3]Non-Peak'!A2</f>
        <v>36647</v>
      </c>
      <c r="B16" s="12" t="str">
        <f aca="false">+'[3]Non-Peak'!B2</f>
        <v>FT-CAN-PWRF-HDGI-PRC</v>
      </c>
      <c r="C16" s="12" t="str">
        <f aca="false">+'[3]Non-Peak'!C2</f>
        <v>P</v>
      </c>
      <c r="D16" s="12" t="str">
        <f aca="false">+'[3]Non-Peak'!D2</f>
        <v>DESK</v>
      </c>
      <c r="E16" s="12" t="str">
        <f aca="false">+'[3]Non-Peak'!E2</f>
        <v>S</v>
      </c>
      <c r="F16" s="12" t="str">
        <f aca="false">+'[3]Non-Peak'!F2</f>
        <v>PWR</v>
      </c>
      <c r="G16" s="12" t="str">
        <f aca="false">+'[3]Non-Peak'!G2</f>
        <v>P</v>
      </c>
      <c r="H16" s="12" t="str">
        <f aca="false">+'[3]Non-Peak'!H2</f>
        <v>R9</v>
      </c>
      <c r="I16" s="12" t="str">
        <f aca="false">+'[3]Non-Peak'!I2</f>
        <v>E</v>
      </c>
      <c r="J16" s="12" t="str">
        <f aca="false">+'[3]Non-Peak'!J2</f>
        <v>PWRCAN</v>
      </c>
      <c r="K16" s="13" t="n">
        <f aca="false">+'Non-Peak'!K2</f>
        <v>0</v>
      </c>
      <c r="L16" s="12" t="n">
        <f aca="false">+'[3]Non-Peak'!L2</f>
        <v>0</v>
      </c>
      <c r="M16" s="12" t="n">
        <f aca="false">+'[3]Non-Peak'!M2</f>
        <v>0</v>
      </c>
      <c r="N16" s="12" t="n">
        <f aca="false">+'[3]Non-Peak'!N2</f>
        <v>0</v>
      </c>
      <c r="O16" s="12" t="n">
        <f aca="false">+'[3]Non-Peak'!O2</f>
        <v>0</v>
      </c>
      <c r="P16" s="12" t="str">
        <f aca="false">+'[3]Non-Peak'!P2</f>
        <v>O</v>
      </c>
    </row>
    <row r="17" customFormat="false" ht="12.75" hidden="false" customHeight="false" outlineLevel="0" collapsed="false">
      <c r="A17" s="11" t="n">
        <f aca="false">+'[3]Non-Peak'!A3</f>
        <v>36678</v>
      </c>
      <c r="B17" s="12" t="str">
        <f aca="false">+'[3]Non-Peak'!B3</f>
        <v>FT-CAN-PWRF-HDGI-PRC</v>
      </c>
      <c r="C17" s="12" t="str">
        <f aca="false">+'[3]Non-Peak'!C3</f>
        <v>P</v>
      </c>
      <c r="D17" s="12" t="str">
        <f aca="false">+'[3]Non-Peak'!D3</f>
        <v>DESK</v>
      </c>
      <c r="E17" s="12" t="str">
        <f aca="false">+'[3]Non-Peak'!E3</f>
        <v>S</v>
      </c>
      <c r="F17" s="12" t="str">
        <f aca="false">+'[3]Non-Peak'!F3</f>
        <v>PWR</v>
      </c>
      <c r="G17" s="12" t="str">
        <f aca="false">+'[3]Non-Peak'!G3</f>
        <v>P</v>
      </c>
      <c r="H17" s="12" t="str">
        <f aca="false">+'[3]Non-Peak'!H3</f>
        <v>R9</v>
      </c>
      <c r="I17" s="12" t="str">
        <f aca="false">+'[3]Non-Peak'!I3</f>
        <v>E</v>
      </c>
      <c r="J17" s="12" t="str">
        <f aca="false">+'[3]Non-Peak'!J3</f>
        <v>PWRCAN</v>
      </c>
      <c r="K17" s="13" t="n">
        <f aca="false">+'Non-Peak'!K3</f>
        <v>0</v>
      </c>
      <c r="L17" s="12" t="n">
        <f aca="false">+'[3]Non-Peak'!L3</f>
        <v>0</v>
      </c>
      <c r="M17" s="12" t="n">
        <f aca="false">+'[3]Non-Peak'!M3</f>
        <v>0</v>
      </c>
      <c r="N17" s="12" t="n">
        <f aca="false">+'[3]Non-Peak'!N3</f>
        <v>0</v>
      </c>
      <c r="O17" s="12" t="n">
        <f aca="false">+'[3]Non-Peak'!O3</f>
        <v>0</v>
      </c>
      <c r="P17" s="12" t="str">
        <f aca="false">+'[3]Non-Peak'!P3</f>
        <v>O</v>
      </c>
    </row>
    <row r="18" customFormat="false" ht="12.75" hidden="false" customHeight="false" outlineLevel="0" collapsed="false">
      <c r="A18" s="11" t="n">
        <f aca="false">+'[3]Non-Peak'!A4</f>
        <v>36708</v>
      </c>
      <c r="B18" s="12" t="str">
        <f aca="false">+'[3]Non-Peak'!B4</f>
        <v>FT-CAN-PWRF-HDGI-PRC</v>
      </c>
      <c r="C18" s="12" t="str">
        <f aca="false">+'[3]Non-Peak'!C4</f>
        <v>P</v>
      </c>
      <c r="D18" s="12" t="str">
        <f aca="false">+'[3]Non-Peak'!D4</f>
        <v>DESK</v>
      </c>
      <c r="E18" s="12" t="str">
        <f aca="false">+'[3]Non-Peak'!E4</f>
        <v>S</v>
      </c>
      <c r="F18" s="12" t="str">
        <f aca="false">+'[3]Non-Peak'!F4</f>
        <v>PWR</v>
      </c>
      <c r="G18" s="12" t="str">
        <f aca="false">+'[3]Non-Peak'!G4</f>
        <v>P</v>
      </c>
      <c r="H18" s="12" t="str">
        <f aca="false">+'[3]Non-Peak'!H4</f>
        <v>R9</v>
      </c>
      <c r="I18" s="12" t="str">
        <f aca="false">+'[3]Non-Peak'!I4</f>
        <v>E</v>
      </c>
      <c r="J18" s="12" t="str">
        <f aca="false">+'[3]Non-Peak'!J4</f>
        <v>PWRCAN</v>
      </c>
      <c r="K18" s="13" t="n">
        <f aca="false">+'Non-Peak'!K4</f>
        <v>0</v>
      </c>
      <c r="L18" s="12" t="n">
        <f aca="false">+'[3]Non-Peak'!L4</f>
        <v>0</v>
      </c>
      <c r="M18" s="12" t="n">
        <f aca="false">+'[3]Non-Peak'!M4</f>
        <v>0</v>
      </c>
      <c r="N18" s="12" t="n">
        <f aca="false">+'[3]Non-Peak'!N4</f>
        <v>0</v>
      </c>
      <c r="O18" s="12" t="n">
        <f aca="false">+'[3]Non-Peak'!O4</f>
        <v>0</v>
      </c>
      <c r="P18" s="12" t="str">
        <f aca="false">+'[3]Non-Peak'!P4</f>
        <v>O</v>
      </c>
    </row>
    <row r="19" customFormat="false" ht="12.75" hidden="false" customHeight="false" outlineLevel="0" collapsed="false">
      <c r="A19" s="11" t="n">
        <f aca="false">+'[3]Non-Peak'!A5</f>
        <v>36739</v>
      </c>
      <c r="B19" s="12" t="str">
        <f aca="false">+'[3]Non-Peak'!B5</f>
        <v>FT-CAN-PWRF-HDGI-PRC</v>
      </c>
      <c r="C19" s="12" t="str">
        <f aca="false">+'[3]Non-Peak'!C5</f>
        <v>P</v>
      </c>
      <c r="D19" s="12" t="str">
        <f aca="false">+'[3]Non-Peak'!D5</f>
        <v>DESK</v>
      </c>
      <c r="E19" s="12" t="str">
        <f aca="false">+'[3]Non-Peak'!E5</f>
        <v>S</v>
      </c>
      <c r="F19" s="12" t="str">
        <f aca="false">+'[3]Non-Peak'!F5</f>
        <v>PWR</v>
      </c>
      <c r="G19" s="12" t="str">
        <f aca="false">+'[3]Non-Peak'!G5</f>
        <v>P</v>
      </c>
      <c r="H19" s="12" t="str">
        <f aca="false">+'[3]Non-Peak'!H5</f>
        <v>R9</v>
      </c>
      <c r="I19" s="12" t="str">
        <f aca="false">+'[3]Non-Peak'!I5</f>
        <v>E</v>
      </c>
      <c r="J19" s="12" t="str">
        <f aca="false">+'[3]Non-Peak'!J5</f>
        <v>PWRCAN</v>
      </c>
      <c r="K19" s="13" t="n">
        <f aca="false">+'Non-Peak'!K5</f>
        <v>0</v>
      </c>
      <c r="L19" s="12" t="n">
        <f aca="false">+'[3]Non-Peak'!L5</f>
        <v>0</v>
      </c>
      <c r="M19" s="12" t="n">
        <f aca="false">+'[3]Non-Peak'!M5</f>
        <v>0</v>
      </c>
      <c r="N19" s="12" t="n">
        <f aca="false">+'[3]Non-Peak'!N5</f>
        <v>0</v>
      </c>
      <c r="O19" s="12" t="n">
        <f aca="false">+'[3]Non-Peak'!O5</f>
        <v>0</v>
      </c>
      <c r="P19" s="12" t="str">
        <f aca="false">+'[3]Non-Peak'!P5</f>
        <v>O</v>
      </c>
    </row>
    <row r="20" customFormat="false" ht="12.75" hidden="false" customHeight="false" outlineLevel="0" collapsed="false">
      <c r="A20" s="11" t="n">
        <f aca="false">+'[3]Non-Peak'!A6</f>
        <v>36770</v>
      </c>
      <c r="B20" s="12" t="str">
        <f aca="false">+'[3]Non-Peak'!B6</f>
        <v>FT-CAN-PWRF-HDGI-PRC</v>
      </c>
      <c r="C20" s="12" t="str">
        <f aca="false">+'[3]Non-Peak'!C6</f>
        <v>P</v>
      </c>
      <c r="D20" s="12" t="str">
        <f aca="false">+'[3]Non-Peak'!D6</f>
        <v>DESK</v>
      </c>
      <c r="E20" s="12" t="str">
        <f aca="false">+'[3]Non-Peak'!E6</f>
        <v>S</v>
      </c>
      <c r="F20" s="12" t="str">
        <f aca="false">+'[3]Non-Peak'!F6</f>
        <v>PWR</v>
      </c>
      <c r="G20" s="12" t="str">
        <f aca="false">+'[3]Non-Peak'!G6</f>
        <v>P</v>
      </c>
      <c r="H20" s="12" t="str">
        <f aca="false">+'[3]Non-Peak'!H6</f>
        <v>R9</v>
      </c>
      <c r="I20" s="12" t="str">
        <f aca="false">+'[3]Non-Peak'!I6</f>
        <v>E</v>
      </c>
      <c r="J20" s="12" t="str">
        <f aca="false">+'[3]Non-Peak'!J6</f>
        <v>PWRCAN</v>
      </c>
      <c r="K20" s="13" t="n">
        <f aca="false">+'Non-Peak'!K6</f>
        <v>0</v>
      </c>
      <c r="L20" s="12" t="n">
        <f aca="false">+'[3]Non-Peak'!L6</f>
        <v>0</v>
      </c>
      <c r="M20" s="12" t="n">
        <f aca="false">+'[3]Non-Peak'!M6</f>
        <v>0</v>
      </c>
      <c r="N20" s="12" t="n">
        <f aca="false">+'[3]Non-Peak'!N6</f>
        <v>0</v>
      </c>
      <c r="O20" s="12" t="n">
        <f aca="false">+'[3]Non-Peak'!O6</f>
        <v>0</v>
      </c>
      <c r="P20" s="12" t="str">
        <f aca="false">+'[3]Non-Peak'!P6</f>
        <v>O</v>
      </c>
    </row>
    <row r="21" customFormat="false" ht="12.75" hidden="false" customHeight="false" outlineLevel="0" collapsed="false">
      <c r="A21" s="11" t="n">
        <f aca="false">+'[3]Non-Peak'!A7</f>
        <v>36800</v>
      </c>
      <c r="B21" s="12" t="str">
        <f aca="false">+'[3]Non-Peak'!B7</f>
        <v>FT-CAN-PWRF-HDGI-PRC</v>
      </c>
      <c r="C21" s="12" t="str">
        <f aca="false">+'[3]Non-Peak'!C7</f>
        <v>P</v>
      </c>
      <c r="D21" s="12" t="str">
        <f aca="false">+'[3]Non-Peak'!D7</f>
        <v>DESK</v>
      </c>
      <c r="E21" s="12" t="str">
        <f aca="false">+'[3]Non-Peak'!E7</f>
        <v>S</v>
      </c>
      <c r="F21" s="12" t="str">
        <f aca="false">+'[3]Non-Peak'!F7</f>
        <v>PWR</v>
      </c>
      <c r="G21" s="12" t="str">
        <f aca="false">+'[3]Non-Peak'!G7</f>
        <v>P</v>
      </c>
      <c r="H21" s="12" t="str">
        <f aca="false">+'[3]Non-Peak'!H7</f>
        <v>R9</v>
      </c>
      <c r="I21" s="12" t="str">
        <f aca="false">+'[3]Non-Peak'!I7</f>
        <v>E</v>
      </c>
      <c r="J21" s="12" t="str">
        <f aca="false">+'[3]Non-Peak'!J7</f>
        <v>PWRCAN</v>
      </c>
      <c r="K21" s="13" t="n">
        <f aca="false">+'Non-Peak'!K7</f>
        <v>0</v>
      </c>
      <c r="L21" s="12" t="n">
        <f aca="false">+'[3]Non-Peak'!L7</f>
        <v>0</v>
      </c>
      <c r="M21" s="12" t="n">
        <f aca="false">+'[3]Non-Peak'!M7</f>
        <v>0</v>
      </c>
      <c r="N21" s="12" t="n">
        <f aca="false">+'[3]Non-Peak'!N7</f>
        <v>0</v>
      </c>
      <c r="O21" s="12" t="n">
        <f aca="false">+'[3]Non-Peak'!O7</f>
        <v>0</v>
      </c>
      <c r="P21" s="12" t="str">
        <f aca="false">+'[3]Non-Peak'!P7</f>
        <v>O</v>
      </c>
    </row>
    <row r="22" customFormat="false" ht="12.75" hidden="false" customHeight="false" outlineLevel="0" collapsed="false">
      <c r="A22" s="11" t="n">
        <f aca="false">+'[3]Non-Peak'!A8</f>
        <v>36831</v>
      </c>
      <c r="B22" s="12" t="str">
        <f aca="false">+'[3]Non-Peak'!B8</f>
        <v>FT-CAN-PWRF-HDGI-PRC</v>
      </c>
      <c r="C22" s="12" t="str">
        <f aca="false">+'[3]Non-Peak'!C8</f>
        <v>P</v>
      </c>
      <c r="D22" s="12" t="str">
        <f aca="false">+'[3]Non-Peak'!D8</f>
        <v>DESK</v>
      </c>
      <c r="E22" s="12" t="str">
        <f aca="false">+'[3]Non-Peak'!E8</f>
        <v>S</v>
      </c>
      <c r="F22" s="12" t="str">
        <f aca="false">+'[3]Non-Peak'!F8</f>
        <v>PWR</v>
      </c>
      <c r="G22" s="12" t="str">
        <f aca="false">+'[3]Non-Peak'!G8</f>
        <v>P</v>
      </c>
      <c r="H22" s="12" t="str">
        <f aca="false">+'[3]Non-Peak'!H8</f>
        <v>R9</v>
      </c>
      <c r="I22" s="12" t="str">
        <f aca="false">+'[3]Non-Peak'!I8</f>
        <v>E</v>
      </c>
      <c r="J22" s="12" t="str">
        <f aca="false">+'[3]Non-Peak'!J8</f>
        <v>PWRCAN</v>
      </c>
      <c r="K22" s="13" t="n">
        <f aca="false">+'Non-Peak'!K8</f>
        <v>0</v>
      </c>
      <c r="L22" s="12" t="n">
        <f aca="false">+'[3]Non-Peak'!L8</f>
        <v>0</v>
      </c>
      <c r="M22" s="12" t="n">
        <f aca="false">+'[3]Non-Peak'!M8</f>
        <v>0</v>
      </c>
      <c r="N22" s="12" t="n">
        <f aca="false">+'[3]Non-Peak'!N8</f>
        <v>0</v>
      </c>
      <c r="O22" s="12" t="n">
        <f aca="false">+'[3]Non-Peak'!O8</f>
        <v>0</v>
      </c>
      <c r="P22" s="12" t="str">
        <f aca="false">+'[3]Non-Peak'!P8</f>
        <v>O</v>
      </c>
    </row>
    <row r="23" customFormat="false" ht="12.75" hidden="false" customHeight="false" outlineLevel="0" collapsed="false">
      <c r="A23" s="11" t="n">
        <f aca="false">+'[3]Non-Peak'!A9</f>
        <v>36861</v>
      </c>
      <c r="B23" s="12" t="str">
        <f aca="false">+'[3]Non-Peak'!B9</f>
        <v>FT-CAN-PWRF-HDGI-PRC</v>
      </c>
      <c r="C23" s="12" t="str">
        <f aca="false">+'[3]Non-Peak'!C9</f>
        <v>P</v>
      </c>
      <c r="D23" s="12" t="str">
        <f aca="false">+'[3]Non-Peak'!D9</f>
        <v>DESK</v>
      </c>
      <c r="E23" s="12" t="str">
        <f aca="false">+'[3]Non-Peak'!E9</f>
        <v>S</v>
      </c>
      <c r="F23" s="12" t="str">
        <f aca="false">+'[3]Non-Peak'!F9</f>
        <v>PWR</v>
      </c>
      <c r="G23" s="12" t="str">
        <f aca="false">+'[3]Non-Peak'!G9</f>
        <v>P</v>
      </c>
      <c r="H23" s="12" t="str">
        <f aca="false">+'[3]Non-Peak'!H9</f>
        <v>R9</v>
      </c>
      <c r="I23" s="12" t="str">
        <f aca="false">+'[3]Non-Peak'!I9</f>
        <v>E</v>
      </c>
      <c r="J23" s="12" t="str">
        <f aca="false">+'[3]Non-Peak'!J9</f>
        <v>PWRCAN</v>
      </c>
      <c r="K23" s="13" t="n">
        <f aca="false">+'Non-Peak'!K9</f>
        <v>0</v>
      </c>
      <c r="L23" s="12" t="n">
        <f aca="false">+'[3]Non-Peak'!L9</f>
        <v>0</v>
      </c>
      <c r="M23" s="12" t="n">
        <f aca="false">+'[3]Non-Peak'!M9</f>
        <v>0</v>
      </c>
      <c r="N23" s="12" t="n">
        <f aca="false">+'[3]Non-Peak'!N9</f>
        <v>0</v>
      </c>
      <c r="O23" s="12" t="n">
        <f aca="false">+'[3]Non-Peak'!O9</f>
        <v>0</v>
      </c>
      <c r="P23" s="12" t="str">
        <f aca="false">+'[3]Non-Peak'!P9</f>
        <v>O</v>
      </c>
    </row>
    <row r="24" customFormat="false" ht="12.75" hidden="false" customHeight="false" outlineLevel="0" collapsed="false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customFormat="false" ht="12.75" hidden="false" customHeight="false" outlineLevel="0" collapsed="false">
      <c r="A25" s="11"/>
      <c r="B25" s="12"/>
      <c r="C25" s="14"/>
      <c r="D25" s="14"/>
      <c r="E25" s="14"/>
      <c r="F25" s="14"/>
      <c r="G25" s="14"/>
      <c r="H25" s="14"/>
      <c r="I25" s="14"/>
      <c r="J25" s="14"/>
      <c r="K25" s="15"/>
      <c r="L25" s="16"/>
      <c r="M25" s="15"/>
      <c r="N25" s="17"/>
      <c r="O25" s="17"/>
    </row>
    <row r="26" customFormat="false" ht="12.75" hidden="false" customHeight="false" outlineLevel="0" collapsed="false">
      <c r="A26" s="11"/>
      <c r="B26" s="12"/>
      <c r="C26" s="14"/>
      <c r="D26" s="14"/>
      <c r="E26" s="14"/>
      <c r="F26" s="14"/>
      <c r="G26" s="14"/>
      <c r="H26" s="14"/>
      <c r="I26" s="14"/>
      <c r="J26" s="14"/>
      <c r="K26" s="15"/>
      <c r="L26" s="16"/>
      <c r="M26" s="15"/>
      <c r="N26" s="17"/>
      <c r="O26" s="17"/>
    </row>
    <row r="27" customFormat="false" ht="12.75" hidden="false" customHeight="false" outlineLevel="0" collapsed="false">
      <c r="A27" s="11"/>
      <c r="B27" s="12"/>
      <c r="C27" s="14"/>
      <c r="D27" s="14"/>
      <c r="E27" s="14"/>
      <c r="F27" s="14"/>
      <c r="G27" s="14"/>
      <c r="H27" s="14"/>
      <c r="I27" s="14"/>
      <c r="J27" s="14"/>
      <c r="K27" s="15"/>
      <c r="L27" s="16"/>
      <c r="M27" s="15"/>
      <c r="N27" s="17"/>
      <c r="O27" s="17"/>
    </row>
    <row r="28" customFormat="false" ht="12.75" hidden="false" customHeight="false" outlineLevel="0" collapsed="false">
      <c r="A28" s="11"/>
      <c r="B28" s="12"/>
      <c r="C28" s="14"/>
      <c r="D28" s="14"/>
      <c r="E28" s="14"/>
      <c r="F28" s="14"/>
      <c r="G28" s="14"/>
      <c r="H28" s="14"/>
      <c r="I28" s="14"/>
      <c r="J28" s="14"/>
      <c r="K28" s="15"/>
      <c r="L28" s="16"/>
      <c r="M28" s="15"/>
      <c r="N28" s="17"/>
      <c r="O28" s="17"/>
    </row>
    <row r="29" customFormat="false" ht="12.75" hidden="false" customHeight="false" outlineLevel="0" collapsed="false">
      <c r="A29" s="11"/>
      <c r="B29" s="12"/>
      <c r="C29" s="14"/>
      <c r="D29" s="14"/>
      <c r="E29" s="14"/>
      <c r="F29" s="14"/>
      <c r="G29" s="14"/>
      <c r="H29" s="14"/>
      <c r="I29" s="14"/>
      <c r="J29" s="14"/>
      <c r="K29" s="15"/>
      <c r="L29" s="16"/>
      <c r="M29" s="15"/>
      <c r="N29" s="17"/>
      <c r="O29" s="17"/>
    </row>
    <row r="30" customFormat="false" ht="12.75" hidden="false" customHeight="false" outlineLevel="0" collapsed="false">
      <c r="A30" s="11"/>
      <c r="B30" s="12"/>
      <c r="C30" s="14"/>
      <c r="D30" s="14"/>
      <c r="E30" s="14"/>
      <c r="F30" s="14"/>
      <c r="G30" s="14"/>
      <c r="H30" s="14"/>
      <c r="I30" s="14"/>
      <c r="J30" s="14"/>
      <c r="K30" s="15"/>
      <c r="L30" s="16"/>
      <c r="M30" s="15"/>
      <c r="N30" s="17"/>
      <c r="O30" s="17"/>
    </row>
    <row r="31" customFormat="false" ht="12.75" hidden="false" customHeight="false" outlineLevel="0" collapsed="false">
      <c r="A31" s="11"/>
      <c r="B31" s="12"/>
      <c r="C31" s="14"/>
      <c r="D31" s="14"/>
      <c r="E31" s="14"/>
      <c r="F31" s="14"/>
      <c r="G31" s="14"/>
      <c r="H31" s="14"/>
      <c r="I31" s="14"/>
      <c r="J31" s="14"/>
      <c r="K31" s="15"/>
      <c r="L31" s="16"/>
      <c r="M31" s="15"/>
      <c r="N31" s="17"/>
      <c r="O31" s="17"/>
    </row>
    <row r="32" customFormat="false" ht="12.75" hidden="false" customHeight="false" outlineLevel="0" collapsed="false">
      <c r="A32" s="11"/>
      <c r="B32" s="12"/>
      <c r="C32" s="14"/>
      <c r="D32" s="14"/>
      <c r="E32" s="14"/>
      <c r="F32" s="14"/>
      <c r="G32" s="14"/>
      <c r="H32" s="14"/>
      <c r="I32" s="14"/>
      <c r="J32" s="14"/>
      <c r="K32" s="15"/>
      <c r="L32" s="16"/>
      <c r="M32" s="15"/>
      <c r="N32" s="17"/>
      <c r="O32" s="17"/>
    </row>
    <row r="33" customFormat="false" ht="12.75" hidden="false" customHeight="false" outlineLevel="0" collapsed="false">
      <c r="A33" s="11"/>
      <c r="B33" s="12"/>
      <c r="C33" s="14"/>
      <c r="D33" s="14"/>
      <c r="E33" s="14"/>
      <c r="F33" s="14"/>
      <c r="G33" s="14"/>
      <c r="H33" s="14"/>
      <c r="I33" s="14"/>
      <c r="J33" s="14"/>
      <c r="K33" s="15"/>
      <c r="L33" s="16"/>
      <c r="M33" s="15"/>
      <c r="N33" s="17"/>
      <c r="O33" s="17"/>
    </row>
    <row r="34" customFormat="false" ht="12.75" hidden="false" customHeight="false" outlineLevel="0" collapsed="false">
      <c r="A34" s="11"/>
      <c r="B34" s="12"/>
      <c r="C34" s="14"/>
      <c r="D34" s="14"/>
      <c r="E34" s="14"/>
      <c r="F34" s="14"/>
      <c r="G34" s="14"/>
      <c r="H34" s="14"/>
      <c r="I34" s="14"/>
      <c r="J34" s="14"/>
      <c r="K34" s="15"/>
      <c r="L34" s="16"/>
      <c r="M34" s="15"/>
      <c r="N34" s="17"/>
      <c r="O34" s="17"/>
    </row>
    <row r="35" customFormat="false" ht="12.75" hidden="false" customHeight="false" outlineLevel="0" collapsed="false">
      <c r="A35" s="11"/>
      <c r="B35" s="12"/>
      <c r="C35" s="14"/>
      <c r="D35" s="14"/>
      <c r="E35" s="14"/>
      <c r="F35" s="14"/>
      <c r="G35" s="14"/>
      <c r="H35" s="14"/>
      <c r="I35" s="14"/>
      <c r="J35" s="14"/>
      <c r="K35" s="15"/>
      <c r="L35" s="16"/>
      <c r="M35" s="15"/>
      <c r="N35" s="17"/>
      <c r="O35" s="17"/>
    </row>
    <row r="36" customFormat="false" ht="12.75" hidden="false" customHeight="false" outlineLevel="0" collapsed="false">
      <c r="A36" s="14"/>
      <c r="B36" s="12"/>
      <c r="C36" s="17"/>
      <c r="D36" s="17"/>
      <c r="E36" s="17"/>
      <c r="F36" s="17"/>
      <c r="G36" s="17"/>
      <c r="H36" s="17"/>
      <c r="I36" s="17"/>
      <c r="J36" s="17"/>
      <c r="K36" s="15"/>
      <c r="L36" s="16"/>
      <c r="M36" s="15"/>
      <c r="N36" s="17"/>
      <c r="O36" s="17"/>
    </row>
    <row r="37" customFormat="false" ht="12.75" hidden="false" customHeight="false" outlineLevel="0" collapsed="false">
      <c r="A37" s="14"/>
      <c r="B37" s="12"/>
      <c r="C37" s="17"/>
      <c r="D37" s="17"/>
      <c r="E37" s="17"/>
      <c r="F37" s="17"/>
      <c r="G37" s="17"/>
      <c r="H37" s="17"/>
      <c r="I37" s="17"/>
      <c r="J37" s="17"/>
      <c r="K37" s="15"/>
      <c r="L37" s="16"/>
      <c r="M37" s="15"/>
      <c r="N37" s="17"/>
      <c r="O37" s="17"/>
    </row>
    <row r="38" customFormat="false" ht="12.75" hidden="false" customHeight="false" outlineLevel="0" collapsed="false">
      <c r="A38" s="14"/>
      <c r="B38" s="12"/>
      <c r="C38" s="17"/>
      <c r="D38" s="17"/>
      <c r="E38" s="17"/>
      <c r="F38" s="17"/>
      <c r="G38" s="17"/>
      <c r="H38" s="17"/>
      <c r="I38" s="17"/>
      <c r="J38" s="17"/>
      <c r="K38" s="15"/>
      <c r="L38" s="16"/>
      <c r="M38" s="15"/>
      <c r="N38" s="17"/>
      <c r="O38" s="17"/>
    </row>
    <row r="39" customFormat="false" ht="12.75" hidden="false" customHeight="false" outlineLevel="0" collapsed="false">
      <c r="A39" s="14"/>
      <c r="B39" s="12"/>
      <c r="C39" s="17"/>
      <c r="D39" s="17"/>
      <c r="E39" s="17"/>
      <c r="F39" s="17"/>
      <c r="G39" s="17"/>
      <c r="H39" s="17"/>
      <c r="I39" s="17"/>
      <c r="J39" s="17"/>
      <c r="K39" s="15"/>
      <c r="L39" s="16"/>
      <c r="M39" s="15"/>
      <c r="N39" s="17"/>
      <c r="O39" s="17"/>
    </row>
    <row r="40" customFormat="false" ht="12.75" hidden="false" customHeight="false" outlineLevel="0" collapsed="false">
      <c r="A40" s="14"/>
      <c r="B40" s="12"/>
      <c r="C40" s="17"/>
      <c r="D40" s="17"/>
      <c r="E40" s="17"/>
      <c r="F40" s="17"/>
      <c r="G40" s="17"/>
      <c r="H40" s="17"/>
      <c r="I40" s="17"/>
      <c r="J40" s="17"/>
      <c r="K40" s="15"/>
      <c r="L40" s="16"/>
      <c r="M40" s="15"/>
      <c r="N40" s="17"/>
      <c r="O40" s="17"/>
    </row>
    <row r="41" customFormat="false" ht="12.75" hidden="false" customHeight="false" outlineLevel="0" collapsed="false">
      <c r="A41" s="14"/>
      <c r="B41" s="12"/>
      <c r="C41" s="17"/>
      <c r="D41" s="17"/>
      <c r="E41" s="17"/>
      <c r="F41" s="17"/>
      <c r="G41" s="17"/>
      <c r="H41" s="17"/>
      <c r="I41" s="17"/>
      <c r="J41" s="17"/>
      <c r="K41" s="15"/>
      <c r="L41" s="16"/>
      <c r="M41" s="15"/>
      <c r="N41" s="17"/>
      <c r="O41" s="17"/>
    </row>
    <row r="42" customFormat="false" ht="12.75" hidden="false" customHeight="false" outlineLevel="0" collapsed="false">
      <c r="A42" s="14"/>
      <c r="B42" s="12"/>
      <c r="C42" s="17"/>
      <c r="D42" s="17"/>
      <c r="E42" s="17"/>
      <c r="F42" s="17"/>
      <c r="G42" s="17"/>
      <c r="H42" s="17"/>
      <c r="I42" s="17"/>
      <c r="J42" s="17"/>
      <c r="K42" s="15"/>
      <c r="L42" s="16"/>
      <c r="M42" s="15"/>
      <c r="N42" s="17"/>
      <c r="O42" s="17"/>
    </row>
    <row r="43" customFormat="false" ht="12.75" hidden="false" customHeight="false" outlineLevel="0" collapsed="false">
      <c r="A43" s="14"/>
      <c r="B43" s="12"/>
      <c r="C43" s="17"/>
      <c r="D43" s="17"/>
      <c r="E43" s="17"/>
      <c r="F43" s="17"/>
      <c r="G43" s="17"/>
      <c r="H43" s="17"/>
      <c r="I43" s="17"/>
      <c r="J43" s="17"/>
      <c r="K43" s="15"/>
      <c r="L43" s="16"/>
      <c r="M43" s="15"/>
      <c r="N43" s="17"/>
      <c r="O43" s="17"/>
    </row>
    <row r="44" customFormat="false" ht="12.75" hidden="false" customHeight="false" outlineLevel="0" collapsed="false">
      <c r="A44" s="14"/>
      <c r="B44" s="12"/>
      <c r="C44" s="17"/>
      <c r="D44" s="17"/>
      <c r="E44" s="17"/>
      <c r="F44" s="17"/>
      <c r="G44" s="17"/>
      <c r="H44" s="17"/>
      <c r="I44" s="17"/>
      <c r="J44" s="17"/>
      <c r="K44" s="15"/>
      <c r="L44" s="16"/>
      <c r="M44" s="15"/>
      <c r="N44" s="17"/>
      <c r="O44" s="17"/>
    </row>
    <row r="45" customFormat="false" ht="12.75" hidden="false" customHeight="false" outlineLevel="0" collapsed="false">
      <c r="A45" s="14"/>
      <c r="B45" s="12"/>
      <c r="C45" s="17"/>
      <c r="D45" s="17"/>
      <c r="E45" s="17"/>
      <c r="F45" s="17"/>
      <c r="G45" s="17"/>
      <c r="H45" s="17"/>
      <c r="I45" s="17"/>
      <c r="J45" s="17"/>
      <c r="K45" s="15"/>
      <c r="L45" s="16"/>
      <c r="M45" s="15"/>
      <c r="N45" s="17"/>
      <c r="O45" s="17"/>
    </row>
    <row r="46" customFormat="false" ht="12.75" hidden="false" customHeight="false" outlineLevel="0" collapsed="false">
      <c r="A46" s="14"/>
      <c r="B46" s="12"/>
      <c r="C46" s="17"/>
      <c r="D46" s="17"/>
      <c r="E46" s="17"/>
      <c r="F46" s="17"/>
      <c r="G46" s="17"/>
      <c r="H46" s="17"/>
      <c r="I46" s="17"/>
      <c r="J46" s="17"/>
      <c r="K46" s="15"/>
      <c r="L46" s="16"/>
      <c r="M46" s="15"/>
      <c r="N46" s="17"/>
      <c r="O46" s="17"/>
    </row>
    <row r="47" customFormat="false" ht="12.75" hidden="false" customHeight="false" outlineLevel="0" collapsed="false">
      <c r="A47" s="14"/>
      <c r="B47" s="12"/>
      <c r="C47" s="17"/>
      <c r="D47" s="17"/>
      <c r="E47" s="17"/>
      <c r="F47" s="17"/>
      <c r="G47" s="17"/>
      <c r="H47" s="17"/>
      <c r="I47" s="17"/>
      <c r="J47" s="17"/>
      <c r="K47" s="15"/>
      <c r="L47" s="16"/>
      <c r="M47" s="15"/>
      <c r="N47" s="17"/>
      <c r="O47" s="17"/>
    </row>
    <row r="48" customFormat="false" ht="12.75" hidden="false" customHeight="false" outlineLevel="0" collapsed="false">
      <c r="A48" s="14"/>
      <c r="B48" s="12"/>
      <c r="C48" s="17"/>
      <c r="D48" s="17"/>
      <c r="E48" s="17"/>
      <c r="F48" s="17"/>
      <c r="G48" s="17"/>
      <c r="H48" s="17"/>
      <c r="I48" s="17"/>
      <c r="J48" s="17"/>
      <c r="K48" s="15"/>
      <c r="L48" s="16"/>
      <c r="M48" s="15"/>
      <c r="N48" s="17"/>
      <c r="O48" s="17"/>
    </row>
    <row r="49" customFormat="false" ht="12.75" hidden="false" customHeight="false" outlineLevel="0" collapsed="false">
      <c r="A49" s="14"/>
      <c r="B49" s="12"/>
      <c r="C49" s="17"/>
      <c r="D49" s="17"/>
      <c r="E49" s="17"/>
      <c r="F49" s="17"/>
      <c r="G49" s="17"/>
      <c r="H49" s="17"/>
      <c r="I49" s="17"/>
      <c r="J49" s="17"/>
      <c r="K49" s="15"/>
      <c r="L49" s="16"/>
      <c r="M49" s="15"/>
      <c r="N49" s="17"/>
      <c r="O49" s="17"/>
    </row>
    <row r="50" customFormat="false" ht="12.75" hidden="false" customHeight="false" outlineLevel="0" collapsed="false">
      <c r="A50" s="14"/>
      <c r="B50" s="12"/>
      <c r="C50" s="17"/>
      <c r="D50" s="17"/>
      <c r="E50" s="17"/>
      <c r="F50" s="17"/>
      <c r="G50" s="17"/>
      <c r="H50" s="17"/>
      <c r="I50" s="17"/>
      <c r="J50" s="17"/>
      <c r="K50" s="15"/>
      <c r="L50" s="16"/>
      <c r="M50" s="15"/>
      <c r="N50" s="17"/>
      <c r="O50" s="17"/>
    </row>
    <row r="51" customFormat="false" ht="12.75" hidden="false" customHeight="false" outlineLevel="0" collapsed="false">
      <c r="A51" s="14"/>
      <c r="B51" s="12"/>
      <c r="C51" s="17"/>
      <c r="D51" s="17"/>
      <c r="E51" s="17"/>
      <c r="F51" s="17"/>
      <c r="G51" s="17"/>
      <c r="H51" s="17"/>
      <c r="I51" s="17"/>
      <c r="J51" s="17"/>
      <c r="K51" s="15"/>
      <c r="L51" s="16"/>
      <c r="M51" s="15"/>
      <c r="N51" s="17"/>
      <c r="O51" s="17"/>
    </row>
    <row r="52" customFormat="false" ht="12.75" hidden="false" customHeight="false" outlineLevel="0" collapsed="false">
      <c r="A52" s="14"/>
      <c r="B52" s="12"/>
      <c r="C52" s="17"/>
      <c r="D52" s="17"/>
      <c r="E52" s="17"/>
      <c r="F52" s="17"/>
      <c r="G52" s="17"/>
      <c r="H52" s="17"/>
      <c r="I52" s="17"/>
      <c r="J52" s="17"/>
      <c r="K52" s="15"/>
      <c r="L52" s="16"/>
      <c r="M52" s="15"/>
      <c r="N52" s="17"/>
      <c r="O52" s="17"/>
    </row>
    <row r="53" customFormat="false" ht="12.75" hidden="false" customHeight="false" outlineLevel="0" collapsed="false">
      <c r="A53" s="14"/>
      <c r="B53" s="12"/>
      <c r="C53" s="17"/>
      <c r="D53" s="17"/>
      <c r="E53" s="17"/>
      <c r="F53" s="17"/>
      <c r="G53" s="17"/>
      <c r="H53" s="17"/>
      <c r="I53" s="17"/>
      <c r="J53" s="17"/>
      <c r="K53" s="15"/>
      <c r="L53" s="16"/>
      <c r="M53" s="15"/>
      <c r="N53" s="17"/>
      <c r="O53" s="17"/>
    </row>
    <row r="54" customFormat="false" ht="12.75" hidden="false" customHeight="false" outlineLevel="0" collapsed="false">
      <c r="A54" s="14"/>
      <c r="B54" s="12"/>
      <c r="C54" s="17"/>
      <c r="D54" s="17"/>
      <c r="E54" s="17"/>
      <c r="F54" s="17"/>
      <c r="G54" s="17"/>
      <c r="H54" s="17"/>
      <c r="I54" s="17"/>
      <c r="J54" s="17"/>
      <c r="K54" s="15"/>
      <c r="L54" s="16"/>
      <c r="M54" s="15"/>
      <c r="N54" s="17"/>
      <c r="O54" s="17"/>
    </row>
    <row r="55" customFormat="false" ht="12.75" hidden="false" customHeight="false" outlineLevel="0" collapsed="false">
      <c r="A55" s="14"/>
      <c r="B55" s="12"/>
      <c r="C55" s="17"/>
      <c r="D55" s="17"/>
      <c r="E55" s="17"/>
      <c r="F55" s="17"/>
      <c r="G55" s="17"/>
      <c r="H55" s="17"/>
      <c r="I55" s="17"/>
      <c r="J55" s="17"/>
      <c r="K55" s="15"/>
      <c r="L55" s="16"/>
      <c r="M55" s="15"/>
      <c r="N55" s="17"/>
      <c r="O55" s="17"/>
    </row>
    <row r="56" customFormat="false" ht="12.75" hidden="false" customHeight="false" outlineLevel="0" collapsed="false">
      <c r="A56" s="14"/>
      <c r="B56" s="12"/>
      <c r="C56" s="17"/>
      <c r="D56" s="17"/>
      <c r="E56" s="17"/>
      <c r="F56" s="17"/>
      <c r="G56" s="17"/>
      <c r="H56" s="17"/>
      <c r="I56" s="17"/>
      <c r="J56" s="17"/>
      <c r="K56" s="15"/>
      <c r="L56" s="16"/>
      <c r="M56" s="15"/>
      <c r="N56" s="17"/>
      <c r="O56" s="17"/>
    </row>
    <row r="57" customFormat="false" ht="12.75" hidden="false" customHeight="false" outlineLevel="0" collapsed="false">
      <c r="A57" s="14"/>
      <c r="B57" s="12"/>
      <c r="C57" s="17"/>
      <c r="D57" s="17"/>
      <c r="E57" s="17"/>
      <c r="F57" s="17"/>
      <c r="G57" s="17"/>
      <c r="H57" s="17"/>
      <c r="I57" s="17"/>
      <c r="J57" s="17"/>
      <c r="K57" s="15"/>
      <c r="L57" s="16"/>
      <c r="M57" s="15"/>
      <c r="N57" s="17"/>
      <c r="O57" s="17"/>
    </row>
    <row r="58" customFormat="false" ht="12.75" hidden="false" customHeight="false" outlineLevel="0" collapsed="false">
      <c r="A58" s="14"/>
      <c r="B58" s="12"/>
      <c r="C58" s="17"/>
      <c r="D58" s="17"/>
      <c r="E58" s="17"/>
      <c r="F58" s="17"/>
      <c r="G58" s="17"/>
      <c r="H58" s="17"/>
      <c r="I58" s="17"/>
      <c r="J58" s="17"/>
      <c r="K58" s="15"/>
      <c r="L58" s="16"/>
      <c r="M58" s="15"/>
      <c r="N58" s="17"/>
      <c r="O58" s="17"/>
    </row>
    <row r="59" customFormat="false" ht="12.75" hidden="false" customHeight="false" outlineLevel="0" collapsed="false">
      <c r="A59" s="14"/>
      <c r="B59" s="12"/>
      <c r="C59" s="17"/>
      <c r="D59" s="17"/>
      <c r="E59" s="17"/>
      <c r="F59" s="17"/>
      <c r="G59" s="17"/>
      <c r="H59" s="17"/>
      <c r="I59" s="17"/>
      <c r="J59" s="17"/>
      <c r="K59" s="15"/>
      <c r="L59" s="16"/>
      <c r="M59" s="15"/>
      <c r="N59" s="17"/>
      <c r="O59" s="17"/>
    </row>
    <row r="60" customFormat="false" ht="12.75" hidden="false" customHeight="false" outlineLevel="0" collapsed="false">
      <c r="A60" s="14"/>
      <c r="B60" s="12"/>
      <c r="C60" s="17"/>
      <c r="D60" s="17"/>
      <c r="E60" s="17"/>
      <c r="F60" s="17"/>
      <c r="G60" s="17"/>
      <c r="H60" s="17"/>
      <c r="I60" s="17"/>
      <c r="J60" s="17"/>
      <c r="K60" s="15"/>
      <c r="L60" s="16"/>
      <c r="M60" s="15"/>
      <c r="N60" s="17"/>
      <c r="O60" s="17"/>
    </row>
    <row r="61" customFormat="false" ht="12.75" hidden="false" customHeight="false" outlineLevel="0" collapsed="false">
      <c r="A61" s="14"/>
      <c r="B61" s="12"/>
      <c r="C61" s="17"/>
      <c r="D61" s="17"/>
      <c r="E61" s="17"/>
      <c r="F61" s="17"/>
      <c r="G61" s="17"/>
      <c r="H61" s="17"/>
      <c r="I61" s="17"/>
      <c r="J61" s="17"/>
      <c r="K61" s="15"/>
      <c r="L61" s="16"/>
      <c r="M61" s="15"/>
      <c r="N61" s="17"/>
      <c r="O61" s="17"/>
    </row>
    <row r="62" customFormat="false" ht="12.75" hidden="false" customHeight="false" outlineLevel="0" collapsed="false">
      <c r="A62" s="14"/>
      <c r="B62" s="12"/>
      <c r="C62" s="17"/>
      <c r="D62" s="17"/>
      <c r="E62" s="17"/>
      <c r="F62" s="17"/>
      <c r="G62" s="17"/>
      <c r="H62" s="17"/>
      <c r="I62" s="17"/>
      <c r="J62" s="17"/>
      <c r="K62" s="15"/>
      <c r="L62" s="16"/>
      <c r="M62" s="15"/>
      <c r="N62" s="17"/>
      <c r="O62" s="17"/>
    </row>
    <row r="63" customFormat="false" ht="12.75" hidden="false" customHeight="false" outlineLevel="0" collapsed="false">
      <c r="A63" s="14"/>
      <c r="B63" s="12"/>
      <c r="C63" s="17"/>
      <c r="D63" s="17"/>
      <c r="E63" s="17"/>
      <c r="F63" s="17"/>
      <c r="G63" s="17"/>
      <c r="H63" s="17"/>
      <c r="I63" s="17"/>
      <c r="J63" s="17"/>
      <c r="K63" s="15"/>
      <c r="L63" s="16"/>
      <c r="M63" s="15"/>
      <c r="N63" s="17"/>
      <c r="O63" s="17"/>
    </row>
    <row r="64" customFormat="false" ht="12.75" hidden="false" customHeight="false" outlineLevel="0" collapsed="false">
      <c r="A64" s="14"/>
      <c r="B64" s="12"/>
      <c r="C64" s="17"/>
      <c r="D64" s="17"/>
      <c r="E64" s="17"/>
      <c r="F64" s="17"/>
      <c r="G64" s="17"/>
      <c r="H64" s="17"/>
      <c r="I64" s="17"/>
      <c r="J64" s="17"/>
      <c r="K64" s="15"/>
      <c r="L64" s="16"/>
      <c r="M64" s="15"/>
      <c r="N64" s="17"/>
      <c r="O64" s="17"/>
    </row>
    <row r="65" customFormat="false" ht="12.75" hidden="false" customHeight="false" outlineLevel="0" collapsed="false">
      <c r="A65" s="14"/>
      <c r="B65" s="12"/>
      <c r="C65" s="17"/>
      <c r="D65" s="17"/>
      <c r="E65" s="17"/>
      <c r="F65" s="17"/>
      <c r="G65" s="17"/>
      <c r="H65" s="17"/>
      <c r="I65" s="17"/>
      <c r="J65" s="17"/>
      <c r="K65" s="15"/>
      <c r="L65" s="16"/>
      <c r="M65" s="15"/>
      <c r="N65" s="17"/>
      <c r="O65" s="17"/>
    </row>
    <row r="66" customFormat="false" ht="12.75" hidden="false" customHeight="false" outlineLevel="0" collapsed="false">
      <c r="A66" s="14"/>
      <c r="B66" s="12"/>
      <c r="C66" s="17"/>
      <c r="D66" s="17"/>
      <c r="E66" s="17"/>
      <c r="F66" s="17"/>
      <c r="G66" s="17"/>
      <c r="H66" s="17"/>
      <c r="I66" s="17"/>
      <c r="J66" s="17"/>
      <c r="K66" s="15"/>
      <c r="L66" s="16"/>
      <c r="M66" s="15"/>
      <c r="N66" s="17"/>
      <c r="O66" s="17"/>
    </row>
    <row r="67" customFormat="false" ht="12.75" hidden="false" customHeight="false" outlineLevel="0" collapsed="false">
      <c r="A67" s="14"/>
      <c r="B67" s="12"/>
      <c r="C67" s="17"/>
      <c r="D67" s="17"/>
      <c r="E67" s="17"/>
      <c r="F67" s="17"/>
      <c r="G67" s="17"/>
      <c r="H67" s="17"/>
      <c r="I67" s="17"/>
      <c r="J67" s="17"/>
      <c r="K67" s="15"/>
      <c r="L67" s="16"/>
      <c r="M67" s="15"/>
      <c r="N67" s="17"/>
      <c r="O67" s="17"/>
    </row>
    <row r="68" customFormat="false" ht="12.75" hidden="false" customHeight="false" outlineLevel="0" collapsed="false">
      <c r="A68" s="14"/>
      <c r="B68" s="12"/>
      <c r="C68" s="17"/>
      <c r="D68" s="17"/>
      <c r="E68" s="17"/>
      <c r="F68" s="17"/>
      <c r="G68" s="17"/>
      <c r="H68" s="17"/>
      <c r="I68" s="17"/>
      <c r="J68" s="17"/>
      <c r="K68" s="15"/>
      <c r="L68" s="16"/>
      <c r="M68" s="15"/>
      <c r="N68" s="17"/>
      <c r="O68" s="17"/>
    </row>
    <row r="69" customFormat="false" ht="12.75" hidden="false" customHeight="false" outlineLevel="0" collapsed="false">
      <c r="A69" s="14"/>
      <c r="B69" s="12"/>
      <c r="C69" s="17"/>
      <c r="D69" s="17"/>
      <c r="E69" s="17"/>
      <c r="F69" s="17"/>
      <c r="G69" s="17"/>
      <c r="H69" s="17"/>
      <c r="I69" s="17"/>
      <c r="J69" s="17"/>
      <c r="K69" s="15"/>
      <c r="L69" s="16"/>
      <c r="M69" s="15"/>
      <c r="N69" s="17"/>
      <c r="O69" s="17"/>
    </row>
    <row r="70" customFormat="false" ht="12.75" hidden="false" customHeight="false" outlineLevel="0" collapsed="false">
      <c r="A70" s="14"/>
      <c r="B70" s="12"/>
      <c r="C70" s="17"/>
      <c r="D70" s="17"/>
      <c r="E70" s="17"/>
      <c r="F70" s="17"/>
      <c r="G70" s="17"/>
      <c r="H70" s="17"/>
      <c r="I70" s="17"/>
      <c r="J70" s="17"/>
      <c r="K70" s="15"/>
      <c r="L70" s="16"/>
      <c r="M70" s="15"/>
      <c r="N70" s="17"/>
      <c r="O70" s="17"/>
    </row>
    <row r="71" customFormat="false" ht="12.75" hidden="false" customHeight="false" outlineLevel="0" collapsed="false">
      <c r="A71" s="14"/>
      <c r="B71" s="12"/>
      <c r="C71" s="17"/>
      <c r="D71" s="17"/>
      <c r="E71" s="17"/>
      <c r="F71" s="17"/>
      <c r="G71" s="17"/>
      <c r="H71" s="17"/>
      <c r="I71" s="17"/>
      <c r="J71" s="17"/>
      <c r="K71" s="15"/>
      <c r="L71" s="16"/>
      <c r="M71" s="15"/>
      <c r="N71" s="17"/>
      <c r="O71" s="17"/>
    </row>
    <row r="72" customFormat="false" ht="12.75" hidden="false" customHeight="false" outlineLevel="0" collapsed="false">
      <c r="A72" s="14"/>
      <c r="B72" s="12"/>
      <c r="C72" s="17"/>
      <c r="D72" s="17"/>
      <c r="E72" s="17"/>
      <c r="F72" s="17"/>
      <c r="G72" s="17"/>
      <c r="H72" s="17"/>
      <c r="I72" s="17"/>
      <c r="J72" s="17"/>
      <c r="K72" s="15"/>
      <c r="L72" s="16"/>
      <c r="M72" s="15"/>
      <c r="N72" s="17"/>
      <c r="O72" s="17"/>
    </row>
    <row r="73" customFormat="false" ht="12.75" hidden="false" customHeight="false" outlineLevel="0" collapsed="false">
      <c r="A73" s="14"/>
      <c r="B73" s="12"/>
      <c r="C73" s="17"/>
      <c r="D73" s="17"/>
      <c r="E73" s="17"/>
      <c r="F73" s="17"/>
      <c r="G73" s="17"/>
      <c r="H73" s="17"/>
      <c r="I73" s="17"/>
      <c r="J73" s="17"/>
      <c r="K73" s="15"/>
      <c r="L73" s="16"/>
      <c r="M73" s="15"/>
      <c r="N73" s="17"/>
      <c r="O73" s="17"/>
    </row>
    <row r="74" customFormat="false" ht="12.75" hidden="false" customHeight="false" outlineLevel="0" collapsed="false">
      <c r="A74" s="14"/>
      <c r="B74" s="12"/>
      <c r="C74" s="17"/>
      <c r="D74" s="17"/>
      <c r="E74" s="17"/>
      <c r="F74" s="17"/>
      <c r="G74" s="17"/>
      <c r="H74" s="17"/>
      <c r="I74" s="17"/>
      <c r="J74" s="17"/>
      <c r="K74" s="15"/>
      <c r="L74" s="16"/>
      <c r="M74" s="15"/>
      <c r="N74" s="17"/>
      <c r="O74" s="17"/>
    </row>
    <row r="75" customFormat="false" ht="12.75" hidden="false" customHeight="false" outlineLevel="0" collapsed="false">
      <c r="A75" s="14"/>
      <c r="B75" s="12"/>
      <c r="C75" s="17"/>
      <c r="D75" s="17"/>
      <c r="E75" s="17"/>
      <c r="F75" s="17"/>
      <c r="G75" s="17"/>
      <c r="H75" s="17"/>
      <c r="I75" s="17"/>
      <c r="J75" s="17"/>
      <c r="K75" s="15"/>
      <c r="L75" s="16"/>
      <c r="M75" s="15"/>
      <c r="N75" s="17"/>
      <c r="O75" s="17"/>
    </row>
    <row r="76" customFormat="false" ht="12.75" hidden="false" customHeight="false" outlineLevel="0" collapsed="false">
      <c r="A76" s="14"/>
      <c r="B76" s="12"/>
      <c r="C76" s="17"/>
      <c r="D76" s="17"/>
      <c r="E76" s="17"/>
      <c r="F76" s="17"/>
      <c r="G76" s="17"/>
      <c r="H76" s="17"/>
      <c r="I76" s="17"/>
      <c r="J76" s="17"/>
      <c r="K76" s="15"/>
      <c r="L76" s="16"/>
      <c r="M76" s="15"/>
      <c r="N76" s="17"/>
      <c r="O76" s="17"/>
    </row>
    <row r="77" customFormat="false" ht="12.75" hidden="false" customHeight="false" outlineLevel="0" collapsed="false">
      <c r="A77" s="14"/>
      <c r="B77" s="12"/>
      <c r="C77" s="17"/>
      <c r="D77" s="17"/>
      <c r="E77" s="17"/>
      <c r="F77" s="17"/>
      <c r="G77" s="17"/>
      <c r="H77" s="17"/>
      <c r="I77" s="17"/>
      <c r="J77" s="17"/>
      <c r="K77" s="15"/>
      <c r="L77" s="16"/>
      <c r="M77" s="15"/>
      <c r="N77" s="17"/>
      <c r="O77" s="17"/>
    </row>
    <row r="78" customFormat="false" ht="12.75" hidden="false" customHeight="false" outlineLevel="0" collapsed="false">
      <c r="A78" s="14"/>
      <c r="B78" s="12"/>
      <c r="C78" s="17"/>
      <c r="D78" s="17"/>
      <c r="E78" s="17"/>
      <c r="F78" s="17"/>
      <c r="G78" s="17"/>
      <c r="H78" s="17"/>
      <c r="I78" s="17"/>
      <c r="J78" s="17"/>
      <c r="K78" s="15"/>
      <c r="L78" s="16"/>
      <c r="M78" s="15"/>
      <c r="N78" s="17"/>
      <c r="O78" s="17"/>
    </row>
    <row r="79" customFormat="false" ht="12.75" hidden="false" customHeight="false" outlineLevel="0" collapsed="false">
      <c r="A79" s="14"/>
      <c r="B79" s="12"/>
      <c r="C79" s="17"/>
      <c r="D79" s="17"/>
      <c r="E79" s="17"/>
      <c r="F79" s="17"/>
      <c r="G79" s="17"/>
      <c r="H79" s="17"/>
      <c r="I79" s="17"/>
      <c r="J79" s="17"/>
      <c r="K79" s="15"/>
      <c r="L79" s="16"/>
      <c r="M79" s="15"/>
      <c r="N79" s="17"/>
      <c r="O79" s="17"/>
    </row>
    <row r="80" customFormat="false" ht="12.75" hidden="false" customHeight="false" outlineLevel="0" collapsed="false">
      <c r="A80" s="14"/>
      <c r="B80" s="12"/>
      <c r="C80" s="17"/>
      <c r="D80" s="17"/>
      <c r="E80" s="17"/>
      <c r="F80" s="17"/>
      <c r="G80" s="17"/>
      <c r="H80" s="17"/>
      <c r="I80" s="17"/>
      <c r="J80" s="17"/>
      <c r="K80" s="15"/>
      <c r="L80" s="16"/>
      <c r="M80" s="15"/>
      <c r="N80" s="17"/>
      <c r="O80" s="17"/>
    </row>
    <row r="81" customFormat="false" ht="12.75" hidden="false" customHeight="false" outlineLevel="0" collapsed="false">
      <c r="A81" s="14"/>
      <c r="B81" s="12"/>
      <c r="C81" s="17"/>
      <c r="D81" s="17"/>
      <c r="E81" s="17"/>
      <c r="F81" s="17"/>
      <c r="G81" s="17"/>
      <c r="H81" s="17"/>
      <c r="I81" s="17"/>
      <c r="J81" s="17"/>
      <c r="K81" s="15"/>
      <c r="L81" s="16"/>
      <c r="M81" s="15"/>
      <c r="N81" s="17"/>
      <c r="O81" s="17"/>
    </row>
    <row r="82" customFormat="false" ht="12.75" hidden="false" customHeight="false" outlineLevel="0" collapsed="false">
      <c r="A82" s="14"/>
      <c r="B82" s="12"/>
      <c r="C82" s="17"/>
      <c r="D82" s="17"/>
      <c r="E82" s="17"/>
      <c r="F82" s="17"/>
      <c r="G82" s="17"/>
      <c r="H82" s="17"/>
      <c r="I82" s="17"/>
      <c r="J82" s="17"/>
      <c r="K82" s="15"/>
      <c r="L82" s="16"/>
      <c r="M82" s="15"/>
      <c r="N82" s="17"/>
      <c r="O82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9.28"/>
    <col collapsed="false" customWidth="true" hidden="false" outlineLevel="0" max="3" min="3" style="0" width="13.41"/>
    <col collapsed="false" customWidth="true" hidden="false" outlineLevel="0" max="4" min="4" style="0" width="7.14"/>
    <col collapsed="false" customWidth="true" hidden="false" outlineLevel="0" max="5" min="5" style="0" width="4.85"/>
    <col collapsed="false" customWidth="true" hidden="false" outlineLevel="0" max="6" min="6" style="0" width="10.99"/>
    <col collapsed="false" customWidth="true" hidden="false" outlineLevel="0" max="7" min="7" style="0" width="3.99"/>
    <col collapsed="false" customWidth="true" hidden="false" outlineLevel="0" max="8" min="8" style="0" width="8.85"/>
    <col collapsed="false" customWidth="true" hidden="false" outlineLevel="0" max="9" min="9" style="0" width="4.14"/>
    <col collapsed="false" customWidth="true" hidden="false" outlineLevel="0" max="10" min="10" style="0" width="10.99"/>
    <col collapsed="false" customWidth="true" hidden="false" outlineLevel="0" max="11" min="11" style="0" width="11.28"/>
    <col collapsed="false" customWidth="true" hidden="false" outlineLevel="0" max="12" min="12" style="0" width="8.14"/>
    <col collapsed="false" customWidth="true" hidden="false" outlineLevel="0" max="13" min="13" style="0" width="11.28"/>
    <col collapsed="false" customWidth="true" hidden="false" outlineLevel="0" max="14" min="14" style="0" width="8.7"/>
    <col collapsed="false" customWidth="true" hidden="false" outlineLevel="0" max="15" min="15" style="0" width="12.42"/>
  </cols>
  <sheetData>
    <row r="1" customFormat="false" ht="13.5" hidden="false" customHeight="false" outlineLevel="0" collapsed="false">
      <c r="A1" s="18" t="s">
        <v>13</v>
      </c>
      <c r="B1" s="18" t="s">
        <v>14</v>
      </c>
      <c r="C1" s="18" t="s">
        <v>15</v>
      </c>
      <c r="D1" s="18" t="s">
        <v>16</v>
      </c>
      <c r="E1" s="18" t="s">
        <v>17</v>
      </c>
      <c r="F1" s="18" t="s">
        <v>18</v>
      </c>
      <c r="G1" s="18" t="s">
        <v>19</v>
      </c>
      <c r="H1" s="18" t="s">
        <v>20</v>
      </c>
      <c r="I1" s="18" t="s">
        <v>21</v>
      </c>
      <c r="J1" s="18" t="s">
        <v>22</v>
      </c>
      <c r="K1" s="18" t="s">
        <v>23</v>
      </c>
      <c r="L1" s="18" t="s">
        <v>24</v>
      </c>
      <c r="M1" s="18" t="s">
        <v>25</v>
      </c>
      <c r="N1" s="18" t="s">
        <v>26</v>
      </c>
      <c r="O1" s="19" t="s">
        <v>27</v>
      </c>
      <c r="P1" s="19" t="s">
        <v>28</v>
      </c>
    </row>
    <row r="2" customFormat="false" ht="12.75" hidden="false" customHeight="false" outlineLevel="0" collapsed="false">
      <c r="A2" s="20" t="n">
        <v>36647</v>
      </c>
      <c r="B2" s="21" t="s">
        <v>29</v>
      </c>
      <c r="C2" s="22" t="s">
        <v>30</v>
      </c>
      <c r="D2" s="22" t="s">
        <v>31</v>
      </c>
      <c r="E2" s="22" t="s">
        <v>32</v>
      </c>
      <c r="F2" s="22" t="s">
        <v>33</v>
      </c>
      <c r="G2" s="22" t="s">
        <v>30</v>
      </c>
      <c r="H2" s="22" t="s">
        <v>34</v>
      </c>
      <c r="I2" s="22" t="s">
        <v>35</v>
      </c>
      <c r="J2" s="22" t="s">
        <v>36</v>
      </c>
      <c r="K2" s="23" t="n">
        <v>0</v>
      </c>
      <c r="L2" s="24" t="n">
        <v>0</v>
      </c>
      <c r="M2" s="23" t="n">
        <v>0</v>
      </c>
      <c r="N2" s="22" t="n">
        <v>0</v>
      </c>
      <c r="O2" s="22" t="n">
        <v>0</v>
      </c>
      <c r="P2" s="22" t="s">
        <v>37</v>
      </c>
    </row>
    <row r="3" customFormat="false" ht="12.75" hidden="false" customHeight="false" outlineLevel="0" collapsed="false">
      <c r="A3" s="20" t="n">
        <v>36678</v>
      </c>
      <c r="B3" s="21" t="s">
        <v>29</v>
      </c>
      <c r="C3" s="22" t="s">
        <v>30</v>
      </c>
      <c r="D3" s="22" t="s">
        <v>31</v>
      </c>
      <c r="E3" s="22" t="s">
        <v>32</v>
      </c>
      <c r="F3" s="22" t="s">
        <v>33</v>
      </c>
      <c r="G3" s="22" t="s">
        <v>30</v>
      </c>
      <c r="H3" s="22" t="s">
        <v>34</v>
      </c>
      <c r="I3" s="22" t="s">
        <v>35</v>
      </c>
      <c r="J3" s="22" t="s">
        <v>36</v>
      </c>
      <c r="K3" s="23" t="n">
        <v>0</v>
      </c>
      <c r="L3" s="24" t="n">
        <v>0</v>
      </c>
      <c r="M3" s="23" t="n">
        <v>0</v>
      </c>
      <c r="N3" s="22" t="n">
        <v>0</v>
      </c>
      <c r="O3" s="22" t="n">
        <v>0</v>
      </c>
      <c r="P3" s="22" t="s">
        <v>37</v>
      </c>
    </row>
    <row r="4" customFormat="false" ht="12.75" hidden="false" customHeight="false" outlineLevel="0" collapsed="false">
      <c r="A4" s="20" t="n">
        <v>36708</v>
      </c>
      <c r="B4" s="21" t="s">
        <v>29</v>
      </c>
      <c r="C4" s="22" t="s">
        <v>30</v>
      </c>
      <c r="D4" s="22" t="s">
        <v>31</v>
      </c>
      <c r="E4" s="22" t="s">
        <v>32</v>
      </c>
      <c r="F4" s="22" t="s">
        <v>33</v>
      </c>
      <c r="G4" s="22" t="s">
        <v>30</v>
      </c>
      <c r="H4" s="22" t="s">
        <v>34</v>
      </c>
      <c r="I4" s="22" t="s">
        <v>35</v>
      </c>
      <c r="J4" s="22" t="s">
        <v>36</v>
      </c>
      <c r="K4" s="23" t="n">
        <v>0</v>
      </c>
      <c r="L4" s="24" t="n">
        <v>0</v>
      </c>
      <c r="M4" s="23" t="n">
        <v>0</v>
      </c>
      <c r="N4" s="22" t="n">
        <v>0</v>
      </c>
      <c r="O4" s="22" t="n">
        <v>0</v>
      </c>
      <c r="P4" s="22" t="s">
        <v>37</v>
      </c>
    </row>
    <row r="5" customFormat="false" ht="12.75" hidden="false" customHeight="false" outlineLevel="0" collapsed="false">
      <c r="A5" s="20" t="n">
        <v>36739</v>
      </c>
      <c r="B5" s="21" t="s">
        <v>29</v>
      </c>
      <c r="C5" s="22" t="s">
        <v>30</v>
      </c>
      <c r="D5" s="22" t="s">
        <v>31</v>
      </c>
      <c r="E5" s="22" t="s">
        <v>32</v>
      </c>
      <c r="F5" s="22" t="s">
        <v>33</v>
      </c>
      <c r="G5" s="22" t="s">
        <v>30</v>
      </c>
      <c r="H5" s="22" t="s">
        <v>34</v>
      </c>
      <c r="I5" s="22" t="s">
        <v>35</v>
      </c>
      <c r="J5" s="22" t="s">
        <v>36</v>
      </c>
      <c r="K5" s="23" t="n">
        <v>0</v>
      </c>
      <c r="L5" s="24" t="n">
        <v>0</v>
      </c>
      <c r="M5" s="23" t="n">
        <v>0</v>
      </c>
      <c r="N5" s="22" t="n">
        <v>0</v>
      </c>
      <c r="O5" s="22" t="n">
        <v>0</v>
      </c>
      <c r="P5" s="22" t="s">
        <v>37</v>
      </c>
    </row>
    <row r="6" customFormat="false" ht="12.75" hidden="false" customHeight="false" outlineLevel="0" collapsed="false">
      <c r="A6" s="20" t="n">
        <v>36770</v>
      </c>
      <c r="B6" s="21" t="s">
        <v>29</v>
      </c>
      <c r="C6" s="22" t="s">
        <v>30</v>
      </c>
      <c r="D6" s="22" t="s">
        <v>31</v>
      </c>
      <c r="E6" s="22" t="s">
        <v>32</v>
      </c>
      <c r="F6" s="22" t="s">
        <v>33</v>
      </c>
      <c r="G6" s="22" t="s">
        <v>30</v>
      </c>
      <c r="H6" s="22" t="s">
        <v>34</v>
      </c>
      <c r="I6" s="22" t="s">
        <v>35</v>
      </c>
      <c r="J6" s="22" t="s">
        <v>36</v>
      </c>
      <c r="K6" s="23" t="n">
        <v>0</v>
      </c>
      <c r="L6" s="24" t="n">
        <v>0</v>
      </c>
      <c r="M6" s="23" t="n">
        <v>0</v>
      </c>
      <c r="N6" s="22" t="n">
        <v>0</v>
      </c>
      <c r="O6" s="22" t="n">
        <v>0</v>
      </c>
      <c r="P6" s="22" t="s">
        <v>37</v>
      </c>
    </row>
    <row r="7" customFormat="false" ht="12.75" hidden="false" customHeight="false" outlineLevel="0" collapsed="false">
      <c r="A7" s="20" t="n">
        <v>36800</v>
      </c>
      <c r="B7" s="21" t="s">
        <v>29</v>
      </c>
      <c r="C7" s="22" t="s">
        <v>30</v>
      </c>
      <c r="D7" s="22" t="s">
        <v>31</v>
      </c>
      <c r="E7" s="22" t="s">
        <v>32</v>
      </c>
      <c r="F7" s="22" t="s">
        <v>33</v>
      </c>
      <c r="G7" s="22" t="s">
        <v>30</v>
      </c>
      <c r="H7" s="22" t="s">
        <v>34</v>
      </c>
      <c r="I7" s="22" t="s">
        <v>35</v>
      </c>
      <c r="J7" s="22" t="s">
        <v>36</v>
      </c>
      <c r="K7" s="23" t="n">
        <v>0</v>
      </c>
      <c r="L7" s="24" t="n">
        <v>0</v>
      </c>
      <c r="M7" s="23" t="n">
        <v>0</v>
      </c>
      <c r="N7" s="22" t="n">
        <v>0</v>
      </c>
      <c r="O7" s="22" t="n">
        <v>0</v>
      </c>
      <c r="P7" s="22" t="s">
        <v>37</v>
      </c>
    </row>
    <row r="8" customFormat="false" ht="12.75" hidden="false" customHeight="false" outlineLevel="0" collapsed="false">
      <c r="A8" s="20" t="n">
        <v>36831</v>
      </c>
      <c r="B8" s="21" t="s">
        <v>29</v>
      </c>
      <c r="C8" s="22" t="s">
        <v>30</v>
      </c>
      <c r="D8" s="22" t="s">
        <v>31</v>
      </c>
      <c r="E8" s="22" t="s">
        <v>32</v>
      </c>
      <c r="F8" s="22" t="s">
        <v>33</v>
      </c>
      <c r="G8" s="22" t="s">
        <v>30</v>
      </c>
      <c r="H8" s="22" t="s">
        <v>34</v>
      </c>
      <c r="I8" s="22" t="s">
        <v>35</v>
      </c>
      <c r="J8" s="22" t="s">
        <v>36</v>
      </c>
      <c r="K8" s="23" t="n">
        <v>0</v>
      </c>
      <c r="L8" s="24" t="n">
        <v>0</v>
      </c>
      <c r="M8" s="23" t="n">
        <v>0</v>
      </c>
      <c r="N8" s="22" t="n">
        <v>0</v>
      </c>
      <c r="O8" s="22" t="n">
        <v>0</v>
      </c>
      <c r="P8" s="22" t="s">
        <v>37</v>
      </c>
    </row>
    <row r="9" customFormat="false" ht="12.75" hidden="false" customHeight="false" outlineLevel="0" collapsed="false">
      <c r="A9" s="20" t="n">
        <v>36861</v>
      </c>
      <c r="B9" s="21" t="s">
        <v>29</v>
      </c>
      <c r="C9" s="22" t="s">
        <v>30</v>
      </c>
      <c r="D9" s="22" t="s">
        <v>31</v>
      </c>
      <c r="E9" s="22" t="s">
        <v>32</v>
      </c>
      <c r="F9" s="22" t="s">
        <v>33</v>
      </c>
      <c r="G9" s="22" t="s">
        <v>30</v>
      </c>
      <c r="H9" s="22" t="s">
        <v>34</v>
      </c>
      <c r="I9" s="22" t="s">
        <v>35</v>
      </c>
      <c r="J9" s="22" t="s">
        <v>36</v>
      </c>
      <c r="K9" s="23" t="n">
        <v>0</v>
      </c>
      <c r="L9" s="24" t="n">
        <v>0</v>
      </c>
      <c r="M9" s="23" t="n">
        <v>0</v>
      </c>
      <c r="N9" s="22" t="n">
        <v>0</v>
      </c>
      <c r="O9" s="22" t="n">
        <v>0</v>
      </c>
      <c r="P9" s="22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9.28"/>
    <col collapsed="false" customWidth="true" hidden="false" outlineLevel="0" max="3" min="3" style="0" width="13.41"/>
    <col collapsed="false" customWidth="true" hidden="false" outlineLevel="0" max="4" min="4" style="0" width="7.14"/>
    <col collapsed="false" customWidth="true" hidden="false" outlineLevel="0" max="5" min="5" style="0" width="4.85"/>
    <col collapsed="false" customWidth="true" hidden="false" outlineLevel="0" max="6" min="6" style="0" width="10.99"/>
    <col collapsed="false" customWidth="true" hidden="false" outlineLevel="0" max="7" min="7" style="0" width="3.99"/>
    <col collapsed="false" customWidth="true" hidden="false" outlineLevel="0" max="8" min="8" style="0" width="8.85"/>
    <col collapsed="false" customWidth="true" hidden="false" outlineLevel="0" max="9" min="9" style="0" width="4.14"/>
    <col collapsed="false" customWidth="true" hidden="false" outlineLevel="0" max="10" min="10" style="0" width="10.99"/>
    <col collapsed="false" customWidth="true" hidden="false" outlineLevel="0" max="11" min="11" style="0" width="8.99"/>
    <col collapsed="false" customWidth="true" hidden="false" outlineLevel="0" max="12" min="12" style="0" width="8.14"/>
    <col collapsed="false" customWidth="true" hidden="false" outlineLevel="0" max="13" min="13" style="0" width="10.13"/>
    <col collapsed="false" customWidth="true" hidden="false" outlineLevel="0" max="14" min="14" style="0" width="8.7"/>
    <col collapsed="false" customWidth="true" hidden="false" outlineLevel="0" max="15" min="15" style="0" width="12.42"/>
    <col collapsed="false" customWidth="true" hidden="false" outlineLevel="0" max="16" min="16" style="0" width="9.56"/>
  </cols>
  <sheetData>
    <row r="1" customFormat="false" ht="17.25" hidden="false" customHeight="true" outlineLevel="0" collapsed="false">
      <c r="A1" s="18" t="s">
        <v>13</v>
      </c>
      <c r="B1" s="18" t="s">
        <v>14</v>
      </c>
      <c r="C1" s="18" t="s">
        <v>15</v>
      </c>
      <c r="D1" s="18" t="s">
        <v>16</v>
      </c>
      <c r="E1" s="18" t="s">
        <v>17</v>
      </c>
      <c r="F1" s="18" t="s">
        <v>18</v>
      </c>
      <c r="G1" s="18" t="s">
        <v>19</v>
      </c>
      <c r="H1" s="18" t="s">
        <v>20</v>
      </c>
      <c r="I1" s="18" t="s">
        <v>21</v>
      </c>
      <c r="J1" s="18" t="s">
        <v>22</v>
      </c>
      <c r="K1" s="18" t="s">
        <v>23</v>
      </c>
      <c r="L1" s="18" t="s">
        <v>24</v>
      </c>
      <c r="M1" s="18" t="s">
        <v>25</v>
      </c>
      <c r="N1" s="18" t="s">
        <v>26</v>
      </c>
      <c r="O1" s="19" t="s">
        <v>27</v>
      </c>
      <c r="P1" s="19" t="s">
        <v>28</v>
      </c>
    </row>
    <row r="2" customFormat="false" ht="12.75" hidden="false" customHeight="false" outlineLevel="0" collapsed="false">
      <c r="A2" s="25" t="n">
        <v>36678</v>
      </c>
      <c r="B2" s="26" t="s">
        <v>29</v>
      </c>
      <c r="C2" s="27" t="s">
        <v>30</v>
      </c>
      <c r="D2" s="27" t="s">
        <v>31</v>
      </c>
      <c r="E2" s="27" t="s">
        <v>32</v>
      </c>
      <c r="F2" s="27" t="s">
        <v>33</v>
      </c>
      <c r="G2" s="27" t="s">
        <v>30</v>
      </c>
      <c r="H2" s="27" t="s">
        <v>34</v>
      </c>
      <c r="I2" s="27" t="s">
        <v>37</v>
      </c>
      <c r="J2" s="27" t="s">
        <v>36</v>
      </c>
      <c r="K2" s="28" t="n">
        <f aca="false">+Trades!K48</f>
        <v>-2925</v>
      </c>
      <c r="L2" s="29" t="n">
        <v>0</v>
      </c>
      <c r="M2" s="28" t="n">
        <v>0</v>
      </c>
      <c r="N2" s="27" t="n">
        <v>0</v>
      </c>
      <c r="O2" s="27" t="n">
        <v>0</v>
      </c>
      <c r="P2" s="27" t="s">
        <v>30</v>
      </c>
    </row>
    <row r="3" customFormat="false" ht="12.75" hidden="false" customHeight="false" outlineLevel="0" collapsed="false">
      <c r="A3" s="25" t="n">
        <v>36708</v>
      </c>
      <c r="B3" s="26" t="s">
        <v>29</v>
      </c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30</v>
      </c>
      <c r="H3" s="27" t="s">
        <v>34</v>
      </c>
      <c r="I3" s="27" t="s">
        <v>37</v>
      </c>
      <c r="J3" s="27" t="s">
        <v>36</v>
      </c>
      <c r="K3" s="28" t="n">
        <f aca="false">+Trades!K49</f>
        <v>0</v>
      </c>
      <c r="L3" s="29" t="n">
        <v>0</v>
      </c>
      <c r="M3" s="28" t="n">
        <v>0</v>
      </c>
      <c r="N3" s="27" t="n">
        <v>0</v>
      </c>
      <c r="O3" s="27" t="n">
        <v>0</v>
      </c>
      <c r="P3" s="27" t="s">
        <v>30</v>
      </c>
    </row>
    <row r="4" customFormat="false" ht="12.75" hidden="false" customHeight="false" outlineLevel="0" collapsed="false">
      <c r="A4" s="25" t="n">
        <v>36739</v>
      </c>
      <c r="B4" s="26" t="s">
        <v>29</v>
      </c>
      <c r="C4" s="27" t="s">
        <v>30</v>
      </c>
      <c r="D4" s="27" t="s">
        <v>31</v>
      </c>
      <c r="E4" s="27" t="s">
        <v>32</v>
      </c>
      <c r="F4" s="27" t="s">
        <v>33</v>
      </c>
      <c r="G4" s="27" t="s">
        <v>30</v>
      </c>
      <c r="H4" s="27" t="s">
        <v>34</v>
      </c>
      <c r="I4" s="27" t="s">
        <v>37</v>
      </c>
      <c r="J4" s="27" t="s">
        <v>36</v>
      </c>
      <c r="K4" s="28" t="n">
        <f aca="false">+Trades!K50</f>
        <v>0</v>
      </c>
      <c r="L4" s="29" t="n">
        <v>0</v>
      </c>
      <c r="M4" s="28" t="n">
        <v>0</v>
      </c>
      <c r="N4" s="27" t="n">
        <v>0</v>
      </c>
      <c r="O4" s="27" t="n">
        <v>0</v>
      </c>
      <c r="P4" s="27" t="s">
        <v>30</v>
      </c>
    </row>
    <row r="5" customFormat="false" ht="12.75" hidden="false" customHeight="false" outlineLevel="0" collapsed="false">
      <c r="A5" s="25" t="n">
        <v>36770</v>
      </c>
      <c r="B5" s="26" t="s">
        <v>29</v>
      </c>
      <c r="C5" s="27" t="s">
        <v>30</v>
      </c>
      <c r="D5" s="27" t="s">
        <v>31</v>
      </c>
      <c r="E5" s="27" t="s">
        <v>32</v>
      </c>
      <c r="F5" s="27" t="s">
        <v>33</v>
      </c>
      <c r="G5" s="27" t="s">
        <v>30</v>
      </c>
      <c r="H5" s="27" t="s">
        <v>34</v>
      </c>
      <c r="I5" s="27" t="s">
        <v>37</v>
      </c>
      <c r="J5" s="27" t="s">
        <v>36</v>
      </c>
      <c r="K5" s="28" t="n">
        <f aca="false">+Trades!K51</f>
        <v>0</v>
      </c>
      <c r="L5" s="29" t="n">
        <v>0</v>
      </c>
      <c r="M5" s="28" t="n">
        <v>0</v>
      </c>
      <c r="N5" s="27" t="n">
        <v>0</v>
      </c>
      <c r="O5" s="27" t="n">
        <v>0</v>
      </c>
      <c r="P5" s="27" t="s">
        <v>30</v>
      </c>
    </row>
    <row r="6" customFormat="false" ht="12.75" hidden="false" customHeight="false" outlineLevel="0" collapsed="false">
      <c r="A6" s="25" t="n">
        <v>36800</v>
      </c>
      <c r="B6" s="26" t="s">
        <v>29</v>
      </c>
      <c r="C6" s="27" t="s">
        <v>30</v>
      </c>
      <c r="D6" s="27" t="s">
        <v>31</v>
      </c>
      <c r="E6" s="27" t="s">
        <v>32</v>
      </c>
      <c r="F6" s="27" t="s">
        <v>33</v>
      </c>
      <c r="G6" s="27" t="s">
        <v>30</v>
      </c>
      <c r="H6" s="27" t="s">
        <v>34</v>
      </c>
      <c r="I6" s="27" t="s">
        <v>37</v>
      </c>
      <c r="J6" s="27" t="s">
        <v>36</v>
      </c>
      <c r="K6" s="28" t="n">
        <f aca="false">+Trades!K52</f>
        <v>-7150</v>
      </c>
      <c r="L6" s="29" t="n">
        <v>0</v>
      </c>
      <c r="M6" s="28" t="n">
        <v>0</v>
      </c>
      <c r="N6" s="27" t="n">
        <v>0</v>
      </c>
      <c r="O6" s="27" t="n">
        <v>0</v>
      </c>
      <c r="P6" s="27" t="s">
        <v>30</v>
      </c>
    </row>
    <row r="7" customFormat="false" ht="12.75" hidden="false" customHeight="false" outlineLevel="0" collapsed="false">
      <c r="A7" s="25" t="n">
        <v>36831</v>
      </c>
      <c r="B7" s="26" t="s">
        <v>29</v>
      </c>
      <c r="C7" s="27" t="s">
        <v>30</v>
      </c>
      <c r="D7" s="27" t="s">
        <v>31</v>
      </c>
      <c r="E7" s="27" t="s">
        <v>32</v>
      </c>
      <c r="F7" s="27" t="s">
        <v>33</v>
      </c>
      <c r="G7" s="27" t="s">
        <v>30</v>
      </c>
      <c r="H7" s="27" t="s">
        <v>34</v>
      </c>
      <c r="I7" s="27" t="s">
        <v>37</v>
      </c>
      <c r="J7" s="27" t="s">
        <v>36</v>
      </c>
      <c r="K7" s="28" t="n">
        <f aca="false">+Trades!K53</f>
        <v>0</v>
      </c>
      <c r="L7" s="29" t="n">
        <v>0</v>
      </c>
      <c r="M7" s="28" t="n">
        <v>0</v>
      </c>
      <c r="N7" s="27" t="n">
        <v>0</v>
      </c>
      <c r="O7" s="27" t="n">
        <v>0</v>
      </c>
      <c r="P7" s="27" t="s">
        <v>30</v>
      </c>
    </row>
    <row r="8" customFormat="false" ht="12.75" hidden="false" customHeight="false" outlineLevel="0" collapsed="false">
      <c r="A8" s="25" t="n">
        <v>36861</v>
      </c>
      <c r="B8" s="26" t="s">
        <v>29</v>
      </c>
      <c r="C8" s="27" t="s">
        <v>30</v>
      </c>
      <c r="D8" s="27" t="s">
        <v>31</v>
      </c>
      <c r="E8" s="27" t="s">
        <v>32</v>
      </c>
      <c r="F8" s="27" t="s">
        <v>33</v>
      </c>
      <c r="G8" s="27" t="s">
        <v>30</v>
      </c>
      <c r="H8" s="27" t="s">
        <v>34</v>
      </c>
      <c r="I8" s="27" t="s">
        <v>37</v>
      </c>
      <c r="J8" s="27" t="s">
        <v>36</v>
      </c>
      <c r="K8" s="28" t="n">
        <f aca="false">+Trades!K54</f>
        <v>0</v>
      </c>
      <c r="L8" s="29" t="n">
        <v>0</v>
      </c>
      <c r="M8" s="28" t="n">
        <v>0</v>
      </c>
      <c r="N8" s="27" t="n">
        <v>0</v>
      </c>
      <c r="O8" s="27" t="n">
        <v>0</v>
      </c>
      <c r="P8" s="27" t="s">
        <v>30</v>
      </c>
    </row>
    <row r="9" customFormat="false" ht="12.75" hidden="false" customHeight="false" outlineLevel="0" collapsed="false">
      <c r="A9" s="30" t="n">
        <v>36678</v>
      </c>
      <c r="B9" s="31" t="s">
        <v>29</v>
      </c>
      <c r="C9" s="32" t="s">
        <v>30</v>
      </c>
      <c r="D9" s="32" t="s">
        <v>31</v>
      </c>
      <c r="E9" s="32" t="s">
        <v>32</v>
      </c>
      <c r="F9" s="32" t="s">
        <v>33</v>
      </c>
      <c r="G9" s="32" t="s">
        <v>30</v>
      </c>
      <c r="H9" s="32" t="s">
        <v>34</v>
      </c>
      <c r="I9" s="32" t="s">
        <v>37</v>
      </c>
      <c r="J9" s="32" t="s">
        <v>36</v>
      </c>
      <c r="K9" s="33" t="n">
        <f aca="false">+Trades!L48</f>
        <v>-7350</v>
      </c>
      <c r="L9" s="34" t="n">
        <v>0</v>
      </c>
      <c r="M9" s="33" t="n">
        <v>0</v>
      </c>
      <c r="N9" s="32" t="n">
        <v>0</v>
      </c>
      <c r="O9" s="32" t="n">
        <v>0</v>
      </c>
      <c r="P9" s="32" t="s">
        <v>30</v>
      </c>
    </row>
    <row r="10" customFormat="false" ht="12.75" hidden="false" customHeight="false" outlineLevel="0" collapsed="false">
      <c r="A10" s="30" t="n">
        <v>36708</v>
      </c>
      <c r="B10" s="31" t="s">
        <v>29</v>
      </c>
      <c r="C10" s="32" t="s">
        <v>30</v>
      </c>
      <c r="D10" s="32" t="s">
        <v>31</v>
      </c>
      <c r="E10" s="32" t="s">
        <v>32</v>
      </c>
      <c r="F10" s="32" t="s">
        <v>33</v>
      </c>
      <c r="G10" s="32" t="s">
        <v>30</v>
      </c>
      <c r="H10" s="32" t="s">
        <v>34</v>
      </c>
      <c r="I10" s="32" t="s">
        <v>37</v>
      </c>
      <c r="J10" s="32" t="s">
        <v>36</v>
      </c>
      <c r="K10" s="33" t="n">
        <f aca="false">+Trades!L49</f>
        <v>-11775</v>
      </c>
      <c r="L10" s="34" t="n">
        <v>0</v>
      </c>
      <c r="M10" s="33" t="n">
        <v>0</v>
      </c>
      <c r="N10" s="32" t="n">
        <v>0</v>
      </c>
      <c r="O10" s="32" t="n">
        <v>0</v>
      </c>
      <c r="P10" s="32" t="s">
        <v>30</v>
      </c>
    </row>
    <row r="11" customFormat="false" ht="12.75" hidden="false" customHeight="false" outlineLevel="0" collapsed="false">
      <c r="A11" s="30" t="n">
        <v>36739</v>
      </c>
      <c r="B11" s="31" t="s">
        <v>29</v>
      </c>
      <c r="C11" s="32" t="s">
        <v>30</v>
      </c>
      <c r="D11" s="32" t="s">
        <v>31</v>
      </c>
      <c r="E11" s="32" t="s">
        <v>32</v>
      </c>
      <c r="F11" s="32" t="s">
        <v>33</v>
      </c>
      <c r="G11" s="32" t="s">
        <v>30</v>
      </c>
      <c r="H11" s="32" t="s">
        <v>34</v>
      </c>
      <c r="I11" s="32" t="s">
        <v>37</v>
      </c>
      <c r="J11" s="32" t="s">
        <v>36</v>
      </c>
      <c r="K11" s="33" t="n">
        <f aca="false">+Trades!L50</f>
        <v>-11125</v>
      </c>
      <c r="L11" s="34" t="n">
        <v>0</v>
      </c>
      <c r="M11" s="33" t="n">
        <v>0</v>
      </c>
      <c r="N11" s="32" t="n">
        <v>0</v>
      </c>
      <c r="O11" s="32" t="n">
        <v>0</v>
      </c>
      <c r="P11" s="32" t="s">
        <v>30</v>
      </c>
    </row>
    <row r="12" customFormat="false" ht="12.75" hidden="false" customHeight="false" outlineLevel="0" collapsed="false">
      <c r="A12" s="30" t="n">
        <v>36770</v>
      </c>
      <c r="B12" s="31" t="s">
        <v>29</v>
      </c>
      <c r="C12" s="32" t="s">
        <v>30</v>
      </c>
      <c r="D12" s="32" t="s">
        <v>31</v>
      </c>
      <c r="E12" s="32" t="s">
        <v>32</v>
      </c>
      <c r="F12" s="32" t="s">
        <v>33</v>
      </c>
      <c r="G12" s="32" t="s">
        <v>30</v>
      </c>
      <c r="H12" s="32" t="s">
        <v>34</v>
      </c>
      <c r="I12" s="32" t="s">
        <v>37</v>
      </c>
      <c r="J12" s="32" t="s">
        <v>36</v>
      </c>
      <c r="K12" s="33" t="n">
        <f aca="false">+Trades!L51</f>
        <v>-11175</v>
      </c>
      <c r="L12" s="34" t="n">
        <v>0</v>
      </c>
      <c r="M12" s="33" t="n">
        <v>0</v>
      </c>
      <c r="N12" s="32" t="n">
        <v>0</v>
      </c>
      <c r="O12" s="32" t="n">
        <v>0</v>
      </c>
      <c r="P12" s="32" t="s">
        <v>30</v>
      </c>
    </row>
    <row r="13" customFormat="false" ht="12.75" hidden="false" customHeight="false" outlineLevel="0" collapsed="false">
      <c r="A13" s="30" t="n">
        <v>36800</v>
      </c>
      <c r="B13" s="31" t="s">
        <v>29</v>
      </c>
      <c r="C13" s="32" t="s">
        <v>30</v>
      </c>
      <c r="D13" s="32" t="s">
        <v>31</v>
      </c>
      <c r="E13" s="32" t="s">
        <v>32</v>
      </c>
      <c r="F13" s="32" t="s">
        <v>33</v>
      </c>
      <c r="G13" s="32" t="s">
        <v>30</v>
      </c>
      <c r="H13" s="32" t="s">
        <v>34</v>
      </c>
      <c r="I13" s="32" t="s">
        <v>37</v>
      </c>
      <c r="J13" s="32" t="s">
        <v>36</v>
      </c>
      <c r="K13" s="33" t="n">
        <f aca="false">+Trades!L52</f>
        <v>-11450</v>
      </c>
      <c r="L13" s="34" t="n">
        <v>0</v>
      </c>
      <c r="M13" s="33" t="n">
        <v>0</v>
      </c>
      <c r="N13" s="32" t="n">
        <v>0</v>
      </c>
      <c r="O13" s="32" t="n">
        <v>0</v>
      </c>
      <c r="P13" s="32" t="s">
        <v>30</v>
      </c>
    </row>
    <row r="14" customFormat="false" ht="12.75" hidden="false" customHeight="false" outlineLevel="0" collapsed="false">
      <c r="A14" s="30" t="n">
        <v>36831</v>
      </c>
      <c r="B14" s="31" t="s">
        <v>29</v>
      </c>
      <c r="C14" s="32" t="s">
        <v>30</v>
      </c>
      <c r="D14" s="32" t="s">
        <v>31</v>
      </c>
      <c r="E14" s="32" t="s">
        <v>32</v>
      </c>
      <c r="F14" s="32" t="s">
        <v>33</v>
      </c>
      <c r="G14" s="32" t="s">
        <v>30</v>
      </c>
      <c r="H14" s="32" t="s">
        <v>34</v>
      </c>
      <c r="I14" s="32" t="s">
        <v>37</v>
      </c>
      <c r="J14" s="32" t="s">
        <v>36</v>
      </c>
      <c r="K14" s="33" t="n">
        <f aca="false">+Trades!L53</f>
        <v>0</v>
      </c>
      <c r="L14" s="34" t="n">
        <v>0</v>
      </c>
      <c r="M14" s="33" t="n">
        <v>0</v>
      </c>
      <c r="N14" s="32" t="n">
        <v>0</v>
      </c>
      <c r="O14" s="32" t="n">
        <v>0</v>
      </c>
      <c r="P14" s="32" t="s">
        <v>30</v>
      </c>
    </row>
    <row r="15" customFormat="false" ht="12.75" hidden="false" customHeight="false" outlineLevel="0" collapsed="false">
      <c r="A15" s="30" t="n">
        <v>36861</v>
      </c>
      <c r="B15" s="31" t="s">
        <v>29</v>
      </c>
      <c r="C15" s="32" t="s">
        <v>30</v>
      </c>
      <c r="D15" s="32" t="s">
        <v>31</v>
      </c>
      <c r="E15" s="32" t="s">
        <v>32</v>
      </c>
      <c r="F15" s="32" t="s">
        <v>33</v>
      </c>
      <c r="G15" s="32" t="s">
        <v>30</v>
      </c>
      <c r="H15" s="32" t="s">
        <v>34</v>
      </c>
      <c r="I15" s="32" t="s">
        <v>37</v>
      </c>
      <c r="J15" s="32" t="s">
        <v>36</v>
      </c>
      <c r="K15" s="33" t="n">
        <f aca="false">+Trades!L54</f>
        <v>0</v>
      </c>
      <c r="L15" s="34" t="n">
        <v>0</v>
      </c>
      <c r="M15" s="33" t="n">
        <v>0</v>
      </c>
      <c r="N15" s="32" t="n">
        <v>0</v>
      </c>
      <c r="O15" s="32" t="n">
        <v>0</v>
      </c>
      <c r="P15" s="32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08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18" activeCellId="0" sqref="K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13.28"/>
    <col collapsed="false" customWidth="true" hidden="false" outlineLevel="0" max="3" min="3" style="0" width="14.28"/>
    <col collapsed="false" customWidth="true" hidden="false" outlineLevel="0" max="4" min="4" style="0" width="16.99"/>
    <col collapsed="false" customWidth="true" hidden="false" outlineLevel="0" max="5" min="5" style="0" width="14.28"/>
    <col collapsed="false" customWidth="true" hidden="false" outlineLevel="0" max="6" min="6" style="0" width="19.28"/>
    <col collapsed="false" customWidth="true" hidden="false" outlineLevel="0" max="7" min="7" style="0" width="11.42"/>
    <col collapsed="false" customWidth="true" hidden="false" outlineLevel="0" max="9" min="8" style="0" width="13.28"/>
    <col collapsed="false" customWidth="true" hidden="false" outlineLevel="0" max="10" min="10" style="0" width="9.7"/>
    <col collapsed="false" customWidth="true" hidden="false" outlineLevel="0" max="11" min="11" style="0" width="12.28"/>
    <col collapsed="false" customWidth="true" hidden="false" outlineLevel="0" max="12" min="12" style="0" width="10.99"/>
    <col collapsed="false" customWidth="true" hidden="false" outlineLevel="0" max="13" min="13" style="35" width="16.56"/>
    <col collapsed="false" customWidth="true" hidden="false" outlineLevel="0" max="14" min="14" style="36" width="16.28"/>
    <col collapsed="false" customWidth="true" hidden="false" outlineLevel="0" max="15" min="15" style="0" width="15.85"/>
    <col collapsed="false" customWidth="true" hidden="false" outlineLevel="0" max="16" min="16" style="0" width="16.56"/>
    <col collapsed="false" customWidth="true" hidden="false" outlineLevel="0" max="17" min="17" style="0" width="17.14"/>
    <col collapsed="false" customWidth="true" hidden="false" outlineLevel="0" max="18" min="18" style="0" width="14.7"/>
    <col collapsed="false" customWidth="true" hidden="false" outlineLevel="0" max="19" min="19" style="0" width="12.14"/>
    <col collapsed="false" customWidth="true" hidden="false" outlineLevel="0" max="20" min="20" style="0" width="15.41"/>
    <col collapsed="false" customWidth="true" hidden="false" outlineLevel="0" max="21" min="21" style="0" width="13.28"/>
    <col collapsed="false" customWidth="true" hidden="false" outlineLevel="0" max="22" min="22" style="0" width="16.84"/>
    <col collapsed="false" customWidth="true" hidden="false" outlineLevel="0" max="23" min="23" style="0" width="17.99"/>
    <col collapsed="false" customWidth="true" hidden="false" outlineLevel="0" max="26" min="24" style="0" width="14.7"/>
    <col collapsed="false" customWidth="true" hidden="false" outlineLevel="0" max="27" min="27" style="0" width="22.85"/>
    <col collapsed="false" customWidth="true" hidden="false" outlineLevel="0" max="28" min="28" style="0" width="11.85"/>
    <col collapsed="false" customWidth="true" hidden="false" outlineLevel="0" max="29" min="29" style="0" width="17.42"/>
    <col collapsed="false" customWidth="true" hidden="false" outlineLevel="0" max="31" min="30" style="0" width="11.7"/>
    <col collapsed="false" customWidth="true" hidden="false" outlineLevel="0" max="32" min="32" style="0" width="12.7"/>
    <col collapsed="false" customWidth="true" hidden="false" outlineLevel="0" max="33" min="33" style="0" width="4.28"/>
    <col collapsed="false" customWidth="true" hidden="false" outlineLevel="0" max="35" min="35" style="0" width="11.13"/>
    <col collapsed="false" customWidth="true" hidden="false" outlineLevel="0" max="41" min="41" style="0" width="10.41"/>
    <col collapsed="false" customWidth="true" hidden="false" outlineLevel="0" max="46" min="46" style="0" width="10.99"/>
    <col collapsed="false" customWidth="true" hidden="false" outlineLevel="0" max="53" min="53" style="0" width="11.13"/>
  </cols>
  <sheetData>
    <row r="1" customFormat="false" ht="14.25" hidden="false" customHeight="false" outlineLevel="0" collapsed="false">
      <c r="A1" s="37" t="s">
        <v>38</v>
      </c>
    </row>
    <row r="2" customFormat="false" ht="12.75" hidden="false" customHeight="false" outlineLevel="0" collapsed="false">
      <c r="A2" s="38" t="s">
        <v>39</v>
      </c>
      <c r="B2" s="39" t="n">
        <f aca="true">TODAY()</f>
        <v>45926</v>
      </c>
      <c r="C2" s="38"/>
      <c r="D2" s="38"/>
      <c r="E2" s="38"/>
      <c r="F2" s="38"/>
      <c r="G2" s="38"/>
      <c r="H2" s="38"/>
      <c r="I2" s="38"/>
      <c r="J2" s="38"/>
    </row>
    <row r="3" customFormat="false" ht="12.75" hidden="false" customHeight="false" outlineLevel="0" collapsed="false">
      <c r="A3" s="38"/>
      <c r="B3" s="40" t="s">
        <v>40</v>
      </c>
      <c r="C3" s="40"/>
      <c r="D3" s="40"/>
      <c r="E3" s="40"/>
      <c r="F3" s="40"/>
      <c r="G3" s="40"/>
      <c r="H3" s="40"/>
      <c r="I3" s="40"/>
      <c r="J3" s="38"/>
      <c r="K3" s="41" t="s">
        <v>41</v>
      </c>
      <c r="M3" s="42" t="s">
        <v>42</v>
      </c>
      <c r="N3" s="43" t="s">
        <v>43</v>
      </c>
      <c r="O3" s="41" t="s">
        <v>44</v>
      </c>
      <c r="P3" s="41" t="s">
        <v>45</v>
      </c>
      <c r="Q3" s="41" t="s">
        <v>46</v>
      </c>
      <c r="R3" s="40" t="s">
        <v>45</v>
      </c>
      <c r="S3" s="40"/>
    </row>
    <row r="4" customFormat="false" ht="12.75" hidden="false" customHeight="false" outlineLevel="0" collapsed="false">
      <c r="A4" s="38"/>
      <c r="B4" s="41"/>
      <c r="C4" s="44"/>
      <c r="D4" s="44"/>
      <c r="E4" s="41"/>
      <c r="F4" s="41"/>
      <c r="G4" s="41"/>
      <c r="H4" s="41"/>
      <c r="I4" s="41"/>
      <c r="J4" s="38"/>
      <c r="K4" s="41"/>
      <c r="M4" s="42"/>
      <c r="N4" s="43"/>
      <c r="O4" s="41"/>
      <c r="P4" s="41"/>
      <c r="Q4" s="41"/>
      <c r="R4" s="41"/>
      <c r="S4" s="45"/>
    </row>
    <row r="5" customFormat="false" ht="12.75" hidden="false" customHeight="false" outlineLevel="0" collapsed="false">
      <c r="A5" s="0" t="s">
        <v>45</v>
      </c>
      <c r="B5" s="0" t="s">
        <v>47</v>
      </c>
      <c r="C5" s="46" t="n">
        <v>0.56</v>
      </c>
      <c r="D5" s="46"/>
      <c r="E5" s="40" t="s">
        <v>45</v>
      </c>
      <c r="F5" s="40"/>
      <c r="G5" s="40"/>
      <c r="H5" s="40"/>
      <c r="I5" s="40"/>
      <c r="J5" s="38"/>
      <c r="K5" s="41"/>
      <c r="M5" s="42"/>
      <c r="N5" s="43"/>
      <c r="O5" s="41"/>
      <c r="P5" s="41"/>
      <c r="Q5" s="41"/>
      <c r="R5" s="41"/>
      <c r="S5" s="45"/>
    </row>
    <row r="6" customFormat="false" ht="12.75" hidden="false" customHeight="false" outlineLevel="0" collapsed="false">
      <c r="A6" s="38"/>
      <c r="B6" s="0" t="s">
        <v>48</v>
      </c>
      <c r="C6" s="46" t="n">
        <f aca="false">1-C5</f>
        <v>0.44</v>
      </c>
      <c r="D6" s="46"/>
      <c r="E6" s="41" t="s">
        <v>45</v>
      </c>
      <c r="F6" s="41" t="s">
        <v>45</v>
      </c>
      <c r="G6" s="40" t="s">
        <v>45</v>
      </c>
      <c r="H6" s="40"/>
      <c r="I6" s="40"/>
      <c r="J6" s="38"/>
      <c r="K6" s="41"/>
      <c r="M6" s="42"/>
      <c r="N6" s="43"/>
      <c r="O6" s="41"/>
      <c r="P6" s="41"/>
      <c r="Q6" s="41"/>
      <c r="R6" s="41"/>
      <c r="S6" s="45"/>
    </row>
    <row r="7" customFormat="false" ht="12.75" hidden="false" customHeight="false" outlineLevel="0" collapsed="false">
      <c r="A7" s="38"/>
      <c r="B7" s="40" t="s">
        <v>49</v>
      </c>
      <c r="C7" s="40"/>
      <c r="D7" s="40"/>
      <c r="E7" s="40"/>
      <c r="F7" s="41" t="s">
        <v>50</v>
      </c>
      <c r="G7" s="41" t="s">
        <v>45</v>
      </c>
      <c r="H7" s="41" t="s">
        <v>45</v>
      </c>
      <c r="I7" s="41" t="s">
        <v>45</v>
      </c>
      <c r="J7" s="38" t="s">
        <v>45</v>
      </c>
      <c r="K7" s="41"/>
      <c r="M7" s="42"/>
      <c r="O7" s="35"/>
      <c r="P7" s="35"/>
      <c r="Q7" s="41"/>
      <c r="R7" s="41"/>
      <c r="S7" s="45"/>
      <c r="T7" s="41"/>
      <c r="AD7" s="47" t="s">
        <v>51</v>
      </c>
      <c r="AE7" s="47"/>
      <c r="AF7" s="47"/>
      <c r="AH7" s="0" t="s">
        <v>52</v>
      </c>
      <c r="AO7" s="48"/>
    </row>
    <row r="8" customFormat="false" ht="25.5" hidden="false" customHeight="false" outlineLevel="0" collapsed="false">
      <c r="A8" s="49"/>
      <c r="B8" s="50" t="s">
        <v>53</v>
      </c>
      <c r="C8" s="50" t="s">
        <v>54</v>
      </c>
      <c r="D8" s="50" t="s">
        <v>55</v>
      </c>
      <c r="E8" s="50" t="s">
        <v>56</v>
      </c>
      <c r="F8" s="50" t="s">
        <v>57</v>
      </c>
      <c r="G8" s="50" t="s">
        <v>58</v>
      </c>
      <c r="H8" s="50" t="s">
        <v>59</v>
      </c>
      <c r="I8" s="50" t="s">
        <v>60</v>
      </c>
      <c r="K8" s="0" t="s">
        <v>61</v>
      </c>
      <c r="M8" s="42"/>
      <c r="N8" s="43"/>
      <c r="O8" s="41"/>
      <c r="P8" s="41"/>
      <c r="Q8" s="50" t="s">
        <v>62</v>
      </c>
      <c r="R8" s="50" t="s">
        <v>63</v>
      </c>
      <c r="S8" s="50" t="s">
        <v>64</v>
      </c>
      <c r="T8" s="50" t="s">
        <v>65</v>
      </c>
      <c r="V8" s="51" t="s">
        <v>66</v>
      </c>
      <c r="W8" s="0" t="s">
        <v>67</v>
      </c>
      <c r="X8" s="0" t="s">
        <v>68</v>
      </c>
      <c r="Y8" s="0" t="s">
        <v>69</v>
      </c>
      <c r="Z8" s="0" t="s">
        <v>70</v>
      </c>
      <c r="AA8" s="0" t="s">
        <v>71</v>
      </c>
      <c r="AB8" s="0" t="s">
        <v>72</v>
      </c>
      <c r="AC8" s="0" t="s">
        <v>73</v>
      </c>
      <c r="AD8" s="0" t="s">
        <v>74</v>
      </c>
      <c r="AE8" s="0" t="s">
        <v>75</v>
      </c>
      <c r="AF8" s="0" t="s">
        <v>76</v>
      </c>
      <c r="AH8" s="0" t="s">
        <v>77</v>
      </c>
      <c r="AI8" s="0" t="s">
        <v>78</v>
      </c>
      <c r="AJ8" s="0" t="s">
        <v>78</v>
      </c>
      <c r="AK8" s="0" t="s">
        <v>79</v>
      </c>
      <c r="AL8" s="0" t="s">
        <v>80</v>
      </c>
      <c r="AM8" s="0" t="s">
        <v>81</v>
      </c>
      <c r="AO8" s="0" t="s">
        <v>82</v>
      </c>
      <c r="AP8" s="0" t="s">
        <v>83</v>
      </c>
      <c r="AQ8" s="0" t="s">
        <v>83</v>
      </c>
      <c r="AR8" s="0" t="s">
        <v>82</v>
      </c>
      <c r="AT8" s="0" t="s">
        <v>83</v>
      </c>
      <c r="AU8" s="0" t="s">
        <v>82</v>
      </c>
      <c r="AV8" s="0" t="s">
        <v>83</v>
      </c>
      <c r="AW8" s="0" t="s">
        <v>82</v>
      </c>
      <c r="AY8" s="0" t="s">
        <v>84</v>
      </c>
      <c r="BA8" s="0" t="s">
        <v>85</v>
      </c>
      <c r="BB8" s="0" t="s">
        <v>86</v>
      </c>
    </row>
    <row r="9" customFormat="false" ht="12.75" hidden="false" customHeight="false" outlineLevel="0" collapsed="false">
      <c r="AE9" s="0" t="s">
        <v>87</v>
      </c>
      <c r="AF9" s="0" t="s">
        <v>87</v>
      </c>
      <c r="AH9" s="0" t="s">
        <v>88</v>
      </c>
      <c r="AI9" s="0" t="s">
        <v>89</v>
      </c>
      <c r="AJ9" s="0" t="s">
        <v>90</v>
      </c>
      <c r="AK9" s="0" t="s">
        <v>85</v>
      </c>
      <c r="AL9" s="0" t="s">
        <v>91</v>
      </c>
      <c r="AM9" s="0" t="s">
        <v>92</v>
      </c>
      <c r="AO9" s="0" t="s">
        <v>47</v>
      </c>
      <c r="AP9" s="0" t="s">
        <v>93</v>
      </c>
      <c r="AQ9" s="0" t="s">
        <v>94</v>
      </c>
      <c r="AR9" s="0" t="s">
        <v>95</v>
      </c>
      <c r="AT9" s="0" t="s">
        <v>96</v>
      </c>
      <c r="AU9" s="0" t="s">
        <v>97</v>
      </c>
      <c r="AV9" s="0" t="s">
        <v>96</v>
      </c>
      <c r="AW9" s="0" t="s">
        <v>97</v>
      </c>
    </row>
    <row r="10" customFormat="false" ht="12.75" hidden="true" customHeight="false" outlineLevel="0" collapsed="false">
      <c r="A10" s="52" t="n">
        <v>36373</v>
      </c>
      <c r="B10" s="53" t="n">
        <v>46</v>
      </c>
      <c r="C10" s="53" t="n">
        <v>21</v>
      </c>
      <c r="D10" s="53"/>
      <c r="E10" s="53"/>
      <c r="F10" s="53"/>
      <c r="G10" s="54"/>
      <c r="H10" s="54"/>
      <c r="I10" s="54"/>
      <c r="K10" s="55" t="n">
        <v>3.49</v>
      </c>
      <c r="M10" s="35" t="n">
        <v>1.50025</v>
      </c>
      <c r="O10" s="35"/>
      <c r="P10" s="35"/>
      <c r="Q10" s="54" t="n">
        <f aca="false">M10*B10</f>
        <v>69.0115</v>
      </c>
      <c r="R10" s="54" t="n">
        <f aca="false">M10*C10</f>
        <v>31.50525</v>
      </c>
      <c r="S10" s="54" t="e">
        <f aca="false">M10*#REF!</f>
        <v>#REF!</v>
      </c>
      <c r="T10" s="54"/>
      <c r="V10" s="56" t="n">
        <v>5</v>
      </c>
      <c r="W10" s="56" t="n">
        <f aca="false">X10-V10</f>
        <v>26</v>
      </c>
      <c r="X10" s="56" t="n">
        <f aca="false">A11-A10</f>
        <v>31</v>
      </c>
      <c r="Y10" s="56"/>
      <c r="Z10" s="56"/>
      <c r="AA10" s="56" t="n">
        <v>9</v>
      </c>
      <c r="AB10" s="56" t="n">
        <f aca="false">X10-AA10</f>
        <v>22</v>
      </c>
      <c r="AD10" s="0" t="n">
        <f aca="false">X10*24</f>
        <v>744</v>
      </c>
      <c r="AE10" s="0" t="n">
        <f aca="false">W10*16</f>
        <v>416</v>
      </c>
      <c r="AF10" s="0" t="n">
        <f aca="false">V10*24+W10*8</f>
        <v>328</v>
      </c>
    </row>
    <row r="11" customFormat="false" ht="12.75" hidden="true" customHeight="false" outlineLevel="0" collapsed="false">
      <c r="A11" s="52" t="n">
        <v>36404</v>
      </c>
      <c r="B11" s="54" t="n">
        <v>40</v>
      </c>
      <c r="C11" s="53" t="n">
        <v>31</v>
      </c>
      <c r="D11" s="53"/>
      <c r="E11" s="53"/>
      <c r="F11" s="53"/>
      <c r="G11" s="54"/>
      <c r="H11" s="54"/>
      <c r="I11" s="54"/>
      <c r="K11" s="57" t="n">
        <v>3.25</v>
      </c>
      <c r="M11" s="58" t="n">
        <v>1.462</v>
      </c>
      <c r="O11" s="35"/>
      <c r="P11" s="35"/>
      <c r="Q11" s="54" t="n">
        <f aca="false">M11*B11</f>
        <v>58.48</v>
      </c>
      <c r="R11" s="54" t="n">
        <f aca="false">M11*C11</f>
        <v>45.322</v>
      </c>
      <c r="S11" s="54" t="e">
        <f aca="false">M11*#REF!</f>
        <v>#REF!</v>
      </c>
      <c r="T11" s="54"/>
      <c r="V11" s="56" t="n">
        <v>4</v>
      </c>
      <c r="W11" s="56" t="n">
        <f aca="false">X11-V11</f>
        <v>26</v>
      </c>
      <c r="X11" s="56" t="n">
        <f aca="false">A12-A11</f>
        <v>30</v>
      </c>
      <c r="Y11" s="56"/>
      <c r="Z11" s="56"/>
      <c r="AA11" s="56" t="n">
        <v>8</v>
      </c>
      <c r="AB11" s="56" t="n">
        <f aca="false">X11-AA11</f>
        <v>22</v>
      </c>
      <c r="AD11" s="0" t="n">
        <f aca="false">X11*24</f>
        <v>720</v>
      </c>
      <c r="AE11" s="0" t="n">
        <f aca="false">W11*16</f>
        <v>416</v>
      </c>
      <c r="AF11" s="0" t="n">
        <f aca="false">V11*24+W11*8</f>
        <v>304</v>
      </c>
    </row>
    <row r="12" customFormat="false" ht="12.75" hidden="true" customHeight="false" outlineLevel="0" collapsed="false">
      <c r="A12" s="52" t="n">
        <v>36434</v>
      </c>
      <c r="B12" s="53" t="n">
        <v>43</v>
      </c>
      <c r="C12" s="59" t="n">
        <v>37.5</v>
      </c>
      <c r="D12" s="59"/>
      <c r="E12" s="59"/>
      <c r="F12" s="59"/>
      <c r="G12" s="54"/>
      <c r="H12" s="54"/>
      <c r="I12" s="54"/>
      <c r="K12" s="57" t="n">
        <v>3.6</v>
      </c>
      <c r="M12" s="58" t="n">
        <v>1.482</v>
      </c>
      <c r="O12" s="35"/>
      <c r="P12" s="35"/>
      <c r="Q12" s="54" t="n">
        <f aca="false">M12*B12</f>
        <v>63.726</v>
      </c>
      <c r="R12" s="54" t="n">
        <f aca="false">M12*C12</f>
        <v>55.575</v>
      </c>
      <c r="S12" s="54" t="e">
        <f aca="false">M12*#REF!</f>
        <v>#REF!</v>
      </c>
      <c r="T12" s="54"/>
      <c r="V12" s="56" t="n">
        <v>5</v>
      </c>
      <c r="W12" s="56" t="n">
        <f aca="false">X12-V12</f>
        <v>26</v>
      </c>
      <c r="X12" s="56" t="n">
        <f aca="false">A13-A12</f>
        <v>31</v>
      </c>
      <c r="Y12" s="56"/>
      <c r="Z12" s="56"/>
      <c r="AA12" s="56" t="n">
        <v>10</v>
      </c>
      <c r="AB12" s="56" t="n">
        <f aca="false">X12-AA12</f>
        <v>21</v>
      </c>
      <c r="AD12" s="0" t="n">
        <f aca="false">X12*24</f>
        <v>744</v>
      </c>
      <c r="AE12" s="0" t="n">
        <f aca="false">W12*16</f>
        <v>416</v>
      </c>
      <c r="AF12" s="0" t="n">
        <f aca="false">V12*24+W12*8</f>
        <v>328</v>
      </c>
    </row>
    <row r="13" customFormat="false" ht="12.75" hidden="true" customHeight="false" outlineLevel="0" collapsed="false">
      <c r="A13" s="52" t="n">
        <v>36465</v>
      </c>
      <c r="B13" s="59" t="n">
        <v>28.5</v>
      </c>
      <c r="C13" s="59" t="n">
        <v>21</v>
      </c>
      <c r="D13" s="59"/>
      <c r="E13" s="59"/>
      <c r="F13" s="59"/>
      <c r="G13" s="54"/>
      <c r="H13" s="54"/>
      <c r="I13" s="54"/>
      <c r="K13" s="57" t="n">
        <v>2.7</v>
      </c>
      <c r="M13" s="58" t="n">
        <v>1.46425</v>
      </c>
      <c r="O13" s="35"/>
      <c r="P13" s="35"/>
      <c r="Q13" s="54" t="n">
        <f aca="false">M13*B13</f>
        <v>41.731125</v>
      </c>
      <c r="R13" s="54" t="n">
        <f aca="false">M13*C13</f>
        <v>30.74925</v>
      </c>
      <c r="S13" s="54" t="e">
        <f aca="false">M13*#REF!</f>
        <v>#REF!</v>
      </c>
      <c r="T13" s="54"/>
      <c r="V13" s="56" t="n">
        <v>4</v>
      </c>
      <c r="W13" s="56" t="n">
        <f aca="false">X13-V13</f>
        <v>26</v>
      </c>
      <c r="X13" s="56" t="n">
        <f aca="false">A14-A13</f>
        <v>30</v>
      </c>
      <c r="Y13" s="56"/>
      <c r="Z13" s="56"/>
      <c r="AA13" s="56" t="n">
        <v>8</v>
      </c>
      <c r="AB13" s="56" t="n">
        <f aca="false">X13-AA13</f>
        <v>22</v>
      </c>
      <c r="AD13" s="0" t="n">
        <f aca="false">X13*24</f>
        <v>720</v>
      </c>
      <c r="AE13" s="0" t="n">
        <f aca="false">W13*16</f>
        <v>416</v>
      </c>
      <c r="AF13" s="0" t="n">
        <f aca="false">V13*24+W13*8</f>
        <v>304</v>
      </c>
    </row>
    <row r="14" customFormat="false" ht="13.5" hidden="true" customHeight="true" outlineLevel="0" collapsed="false">
      <c r="A14" s="52" t="n">
        <v>36495</v>
      </c>
      <c r="B14" s="59" t="n">
        <v>28.75</v>
      </c>
      <c r="C14" s="59" t="n">
        <v>24</v>
      </c>
      <c r="D14" s="59"/>
      <c r="E14" s="60"/>
      <c r="F14" s="60"/>
      <c r="G14" s="54"/>
      <c r="H14" s="54"/>
      <c r="I14" s="54"/>
      <c r="K14" s="57" t="n">
        <v>2.88</v>
      </c>
      <c r="M14" s="58" t="n">
        <v>1.472940476514</v>
      </c>
      <c r="O14" s="35"/>
      <c r="P14" s="35"/>
      <c r="Q14" s="54" t="n">
        <f aca="false">M14*B14</f>
        <v>42.3470386997775</v>
      </c>
      <c r="R14" s="54" t="n">
        <f aca="false">M14*C14</f>
        <v>35.350571436336</v>
      </c>
      <c r="S14" s="54" t="e">
        <f aca="false">M14*#REF!</f>
        <v>#REF!</v>
      </c>
      <c r="T14" s="54"/>
      <c r="V14" s="56" t="n">
        <v>4</v>
      </c>
      <c r="W14" s="56" t="n">
        <f aca="false">X14-V14</f>
        <v>27</v>
      </c>
      <c r="X14" s="56" t="n">
        <f aca="false">A15-A14</f>
        <v>31</v>
      </c>
      <c r="Y14" s="56" t="n">
        <v>4</v>
      </c>
      <c r="Z14" s="56" t="n">
        <f aca="false">ROUND(AA14/2,0)</f>
        <v>4</v>
      </c>
      <c r="AA14" s="56" t="n">
        <v>8</v>
      </c>
      <c r="AB14" s="56" t="n">
        <f aca="false">X14-AA14</f>
        <v>23</v>
      </c>
      <c r="AD14" s="0" t="n">
        <f aca="false">X14*24</f>
        <v>744</v>
      </c>
      <c r="AE14" s="0" t="n">
        <f aca="false">W14*16</f>
        <v>432</v>
      </c>
      <c r="AF14" s="0" t="n">
        <f aca="false">V14*24+W14*8</f>
        <v>312</v>
      </c>
    </row>
    <row r="15" customFormat="false" ht="12.75" hidden="true" customHeight="false" outlineLevel="0" collapsed="false">
      <c r="A15" s="61" t="n">
        <v>36526</v>
      </c>
      <c r="B15" s="59" t="n">
        <v>25.25</v>
      </c>
      <c r="C15" s="59" t="n">
        <v>22.75</v>
      </c>
      <c r="D15" s="59"/>
      <c r="E15" s="60" t="n">
        <v>25</v>
      </c>
      <c r="F15" s="60" t="e">
        <f aca="false">((G15*AD15)-(B15*AE15))*(1/AF15)</f>
        <v>#DIV/0!</v>
      </c>
      <c r="G15" s="54" t="e">
        <f aca="false">((Z15*16*E15)+(B15*W15*16)+X15*8*C15)/(X15*24)</f>
        <v>#DIV/0!</v>
      </c>
      <c r="H15" s="54" t="e">
        <f aca="false">(F15*AF15+B15*AE15)/AD15</f>
        <v>#DIV/0!</v>
      </c>
      <c r="I15" s="54" t="e">
        <f aca="false">B15*$C$5+F15*$C$6</f>
        <v>#DIV/0!</v>
      </c>
      <c r="K15" s="62" t="n">
        <v>2.9</v>
      </c>
      <c r="M15" s="58" t="n">
        <v>1.447</v>
      </c>
      <c r="N15" s="63" t="n">
        <v>0.050961877278977</v>
      </c>
      <c r="O15" s="35" t="n">
        <f aca="false">1/((1+N15)^((A15-$B$2)/365))</f>
        <v>3.59698160226191</v>
      </c>
      <c r="P15" s="64"/>
      <c r="Q15" s="54" t="n">
        <f aca="false">M15*B15</f>
        <v>36.53675</v>
      </c>
      <c r="R15" s="54" t="n">
        <f aca="false">C15*M15</f>
        <v>32.91925</v>
      </c>
      <c r="S15" s="54" t="e">
        <f aca="false">M15*G15</f>
        <v>#DIV/0!</v>
      </c>
      <c r="T15" s="54"/>
      <c r="V15" s="65" t="n">
        <f aca="false">[5]ROM!L4</f>
        <v>0</v>
      </c>
      <c r="W15" s="66" t="n">
        <f aca="false">X15-V15</f>
        <v>0</v>
      </c>
      <c r="X15" s="66" t="n">
        <f aca="false">[5]ROM!K4+[5]ROM!L4</f>
        <v>0</v>
      </c>
      <c r="Y15" s="65" t="n">
        <f aca="false">W15-AB15</f>
        <v>0</v>
      </c>
      <c r="Z15" s="65" t="n">
        <f aca="false">X15-AB15-Y15</f>
        <v>0</v>
      </c>
      <c r="AA15" s="66" t="n">
        <f aca="false">X15-AB15</f>
        <v>0</v>
      </c>
      <c r="AB15" s="66" t="n">
        <f aca="false">[5]ROM!N4</f>
        <v>0</v>
      </c>
      <c r="AC15" s="67" t="n">
        <v>1</v>
      </c>
      <c r="AD15" s="0" t="n">
        <f aca="false">AE15+AF15</f>
        <v>0</v>
      </c>
      <c r="AE15" s="0" t="n">
        <f aca="false">W15*16</f>
        <v>0</v>
      </c>
      <c r="AF15" s="0" t="n">
        <f aca="false">V15*24+W15*8</f>
        <v>0</v>
      </c>
      <c r="AH15" s="0" t="n">
        <f aca="false">X15*24</f>
        <v>0</v>
      </c>
      <c r="AI15" s="0" t="n">
        <f aca="false">AB15*16</f>
        <v>0</v>
      </c>
      <c r="AJ15" s="0" t="n">
        <f aca="false">AB15*13</f>
        <v>0</v>
      </c>
      <c r="AL15" s="0" t="n">
        <f aca="false">AB15*8</f>
        <v>0</v>
      </c>
      <c r="AM15" s="0" t="n">
        <f aca="false">AA15*24</f>
        <v>0</v>
      </c>
      <c r="AO15" s="68" t="e">
        <f aca="false">AI15/AH15</f>
        <v>#DIV/0!</v>
      </c>
      <c r="AP15" s="68" t="e">
        <f aca="false">AL15/AH15</f>
        <v>#DIV/0!</v>
      </c>
      <c r="AQ15" s="68" t="e">
        <f aca="false">1-(AO15+AP15)</f>
        <v>#DIV/0!</v>
      </c>
      <c r="AR15" s="48" t="e">
        <f aca="false">AQ15+AP15</f>
        <v>#DIV/0!</v>
      </c>
    </row>
    <row r="16" customFormat="false" ht="12.75" hidden="false" customHeight="false" outlineLevel="0" collapsed="false">
      <c r="A16" s="61" t="n">
        <f aca="false">B2</f>
        <v>45926</v>
      </c>
      <c r="B16" s="69" t="n">
        <v>78.25</v>
      </c>
      <c r="C16" s="59" t="n">
        <v>52.5</v>
      </c>
      <c r="D16" s="59" t="n">
        <v>78.25</v>
      </c>
      <c r="E16" s="60" t="n">
        <v>52.5</v>
      </c>
      <c r="F16" s="60" t="n">
        <f aca="false">((G16*AD16)-(B16*AE16))*(1/AF16)</f>
        <v>52.5113660965577</v>
      </c>
      <c r="G16" s="54" t="n">
        <f aca="false">((Z16*16*E16)+(B16*W16*16)+(X16*8*C16))/(X16*24)</f>
        <v>69.6797325547866</v>
      </c>
      <c r="H16" s="54" t="n">
        <f aca="false">(F16*AF16+B16*AE16)/AD16</f>
        <v>69.6797325547866</v>
      </c>
      <c r="I16" s="54" t="n">
        <f aca="false">B16*$C$5+F16*$C$6</f>
        <v>66.9250010824854</v>
      </c>
      <c r="K16" s="70" t="n">
        <v>4.75</v>
      </c>
      <c r="M16" s="71" t="n">
        <v>1.4775</v>
      </c>
      <c r="N16" s="71" t="n">
        <v>0.058638838318261</v>
      </c>
      <c r="O16" s="35" t="n">
        <f aca="false">1/((1+N16)^((A16-$B$2)/365))</f>
        <v>1</v>
      </c>
      <c r="P16" s="64"/>
      <c r="Q16" s="54" t="n">
        <f aca="false">M16*B16</f>
        <v>115.614375</v>
      </c>
      <c r="R16" s="54" t="n">
        <f aca="false">C16*M16</f>
        <v>77.56875</v>
      </c>
      <c r="S16" s="54" t="n">
        <f aca="false">M16*G16</f>
        <v>102.951804849697</v>
      </c>
      <c r="T16" s="54" t="n">
        <f aca="false">F16*M16</f>
        <v>77.585543407664</v>
      </c>
      <c r="V16" s="56" t="n">
        <f aca="false">Z16+AC16</f>
        <v>5</v>
      </c>
      <c r="W16" s="56" t="n">
        <f aca="false">X16-V16</f>
        <v>-9253</v>
      </c>
      <c r="X16" s="56" t="n">
        <f aca="false">A17-A16</f>
        <v>-9248</v>
      </c>
      <c r="Y16" s="72" t="n">
        <v>4</v>
      </c>
      <c r="Z16" s="73" t="n">
        <v>4</v>
      </c>
      <c r="AA16" s="56" t="n">
        <f aca="false">Y16+Z16</f>
        <v>8</v>
      </c>
      <c r="AB16" s="56" t="n">
        <f aca="false">X16-AA16</f>
        <v>-9256</v>
      </c>
      <c r="AC16" s="0" t="n">
        <v>1</v>
      </c>
      <c r="AD16" s="0" t="n">
        <f aca="false">X16*24</f>
        <v>-221952</v>
      </c>
      <c r="AE16" s="0" t="n">
        <f aca="false">W16*16</f>
        <v>-148048</v>
      </c>
      <c r="AF16" s="0" t="n">
        <f aca="false">V16*24+W16*8</f>
        <v>-73904</v>
      </c>
      <c r="AH16" s="0" t="n">
        <f aca="false">X16*24</f>
        <v>-221952</v>
      </c>
      <c r="AI16" s="0" t="n">
        <f aca="false">AB16*16</f>
        <v>-148096</v>
      </c>
      <c r="AJ16" s="0" t="n">
        <f aca="false">AB16*13</f>
        <v>-120328</v>
      </c>
      <c r="AL16" s="0" t="n">
        <f aca="false">AB16*8</f>
        <v>-74048</v>
      </c>
      <c r="AM16" s="0" t="n">
        <f aca="false">AA16*24</f>
        <v>192</v>
      </c>
      <c r="AO16" s="68" t="n">
        <f aca="false">AI16/AH16</f>
        <v>0.66724336793541</v>
      </c>
      <c r="AP16" s="68" t="n">
        <f aca="false">AL16/AH16</f>
        <v>0.333621683967705</v>
      </c>
      <c r="AQ16" s="68" t="n">
        <f aca="false">1-(AO16+AP16)</f>
        <v>-0.000865051903114367</v>
      </c>
      <c r="AR16" s="48" t="n">
        <f aca="false">AQ16+AP16</f>
        <v>0.33275663206459</v>
      </c>
      <c r="AT16" s="68" t="n">
        <f aca="false">AJ16/AH16</f>
        <v>0.54213523644752</v>
      </c>
      <c r="AU16" s="48" t="n">
        <f aca="false">1-AT16</f>
        <v>0.45786476355248</v>
      </c>
      <c r="AV16" s="68" t="n">
        <f aca="false">AJ16/AH16</f>
        <v>0.54213523644752</v>
      </c>
      <c r="AW16" s="48" t="n">
        <f aca="false">1-AV16</f>
        <v>0.45786476355248</v>
      </c>
      <c r="AY16" s="36" t="n">
        <f aca="false">AP16/(AP16+AQ16)</f>
        <v>1.00259965337955</v>
      </c>
    </row>
    <row r="17" customFormat="false" ht="12.75" hidden="false" customHeight="false" outlineLevel="0" collapsed="false">
      <c r="A17" s="52" t="n">
        <v>36678</v>
      </c>
      <c r="B17" s="59" t="n">
        <v>53.95</v>
      </c>
      <c r="C17" s="59" t="n">
        <v>36.8</v>
      </c>
      <c r="D17" s="60" t="n">
        <v>53.95</v>
      </c>
      <c r="E17" s="60" t="n">
        <v>37</v>
      </c>
      <c r="F17" s="60" t="n">
        <f aca="false">((G17*AD17)-(B17*AE17))*(1/AF17)</f>
        <v>36.8421052631579</v>
      </c>
      <c r="G17" s="54" t="n">
        <f aca="false">((Z17*16*E17)+(B17*W17*16)+(X17*8*C17))/(X17*24)</f>
        <v>46.7266666666667</v>
      </c>
      <c r="H17" s="54" t="n">
        <f aca="false">(F17*AF17+B17*AE17)/AD17</f>
        <v>46.7266666666667</v>
      </c>
      <c r="I17" s="54" t="n">
        <f aca="false">B17*$C$5+F17*$C$6</f>
        <v>46.4225263157895</v>
      </c>
      <c r="K17" s="70" t="n">
        <v>4.85</v>
      </c>
      <c r="M17" s="71" t="n">
        <v>1.476</v>
      </c>
      <c r="N17" s="71" t="n">
        <v>0.058638838318261</v>
      </c>
      <c r="O17" s="35" t="n">
        <v>1</v>
      </c>
      <c r="P17" s="64"/>
      <c r="Q17" s="54" t="n">
        <f aca="false">M17*B17</f>
        <v>79.6302</v>
      </c>
      <c r="R17" s="54" t="n">
        <f aca="false">C17*M17</f>
        <v>54.3168</v>
      </c>
      <c r="S17" s="54" t="n">
        <f aca="false">M17*G17</f>
        <v>68.96856</v>
      </c>
      <c r="T17" s="54" t="n">
        <f aca="false">F17*M17</f>
        <v>54.378947368421</v>
      </c>
      <c r="V17" s="56" t="n">
        <f aca="false">Z17+AC17</f>
        <v>4</v>
      </c>
      <c r="W17" s="56" t="n">
        <f aca="false">X17-V17</f>
        <v>26</v>
      </c>
      <c r="X17" s="56" t="n">
        <f aca="false">A18-A17</f>
        <v>30</v>
      </c>
      <c r="Y17" s="74" t="n">
        <v>4</v>
      </c>
      <c r="Z17" s="75" t="n">
        <v>4</v>
      </c>
      <c r="AA17" s="56" t="n">
        <f aca="false">Y17+Z17</f>
        <v>8</v>
      </c>
      <c r="AB17" s="56" t="n">
        <f aca="false">X17-AA17</f>
        <v>22</v>
      </c>
      <c r="AD17" s="0" t="n">
        <f aca="false">X17*24</f>
        <v>720</v>
      </c>
      <c r="AE17" s="0" t="n">
        <f aca="false">W17*16</f>
        <v>416</v>
      </c>
      <c r="AF17" s="0" t="n">
        <f aca="false">V17*24+W17*8</f>
        <v>304</v>
      </c>
      <c r="AH17" s="0" t="n">
        <f aca="false">X17*24</f>
        <v>720</v>
      </c>
      <c r="AI17" s="0" t="n">
        <f aca="false">AB17*16</f>
        <v>352</v>
      </c>
      <c r="AJ17" s="0" t="n">
        <f aca="false">AB17*13</f>
        <v>286</v>
      </c>
      <c r="AK17" s="0" t="n">
        <f aca="false">AB17*14</f>
        <v>308</v>
      </c>
      <c r="AL17" s="0" t="n">
        <f aca="false">AB17*8</f>
        <v>176</v>
      </c>
      <c r="AM17" s="0" t="n">
        <f aca="false">AA17*24</f>
        <v>192</v>
      </c>
      <c r="AO17" s="68" t="n">
        <f aca="false">AI17/AH17</f>
        <v>0.488888888888889</v>
      </c>
      <c r="AP17" s="68" t="n">
        <f aca="false">AL17/AH17</f>
        <v>0.244444444444444</v>
      </c>
      <c r="AQ17" s="68" t="n">
        <f aca="false">1-(AO17+AP17)</f>
        <v>0.266666666666667</v>
      </c>
      <c r="AR17" s="48" t="n">
        <f aca="false">AQ17+AP17</f>
        <v>0.511111111111111</v>
      </c>
      <c r="AT17" s="68" t="n">
        <f aca="false">AJ17/AH17</f>
        <v>0.397222222222222</v>
      </c>
      <c r="AU17" s="48" t="n">
        <f aca="false">1-AT17</f>
        <v>0.602777777777778</v>
      </c>
      <c r="AV17" s="68" t="n">
        <f aca="false">AJ17/AH17</f>
        <v>0.397222222222222</v>
      </c>
      <c r="AW17" s="48" t="n">
        <f aca="false">1-AV17</f>
        <v>0.602777777777778</v>
      </c>
      <c r="AY17" s="36" t="n">
        <f aca="false">AP17/(AP17+AQ17)</f>
        <v>0.478260869565217</v>
      </c>
      <c r="BA17" s="68" t="n">
        <f aca="false">AK17/AD17</f>
        <v>0.427777777777778</v>
      </c>
      <c r="BB17" s="52" t="n">
        <f aca="false">A17</f>
        <v>36678</v>
      </c>
    </row>
    <row r="18" customFormat="false" ht="12.75" hidden="false" customHeight="false" outlineLevel="0" collapsed="false">
      <c r="A18" s="52" t="n">
        <v>36708</v>
      </c>
      <c r="B18" s="59" t="n">
        <v>65</v>
      </c>
      <c r="C18" s="59" t="n">
        <v>38</v>
      </c>
      <c r="D18" s="60" t="n">
        <v>65</v>
      </c>
      <c r="E18" s="60" t="n">
        <v>48.75</v>
      </c>
      <c r="F18" s="60" t="n">
        <f aca="false">((G18*AD18)-(B18*AE18))*(1/AF18)</f>
        <v>38.7325581395349</v>
      </c>
      <c r="G18" s="54" t="n">
        <f aca="false">((Z18*16*E18)+(B18*W18*16)+(X18*8*C18))/(X18*24)</f>
        <v>52.8548387096774</v>
      </c>
      <c r="H18" s="54" t="n">
        <f aca="false">(F18*AF18+B18*AE18)/AD18</f>
        <v>52.8548387096774</v>
      </c>
      <c r="I18" s="54" t="n">
        <f aca="false">B18*$C$5+F18*$C$6</f>
        <v>53.4423255813954</v>
      </c>
      <c r="K18" s="76" t="n">
        <v>5.005</v>
      </c>
      <c r="M18" s="71" t="n">
        <v>1.475453429795</v>
      </c>
      <c r="N18" s="71" t="n">
        <v>0.059095000270639</v>
      </c>
      <c r="O18" s="35" t="n">
        <f aca="false">1/((1+N18)^((A18-$B$2)/365))</f>
        <v>4.26310693486652</v>
      </c>
      <c r="P18" s="64"/>
      <c r="Q18" s="54" t="n">
        <f aca="false">M18*B18</f>
        <v>95.904472936675</v>
      </c>
      <c r="R18" s="54" t="n">
        <f aca="false">C18*M18</f>
        <v>56.06723033221</v>
      </c>
      <c r="S18" s="54" t="n">
        <f aca="false">M18*G18</f>
        <v>77.9848530554551</v>
      </c>
      <c r="T18" s="54" t="n">
        <f aca="false">F18*M18</f>
        <v>57.148085751711</v>
      </c>
      <c r="V18" s="56" t="n">
        <f aca="false">Z18+AC18</f>
        <v>6</v>
      </c>
      <c r="W18" s="56" t="n">
        <f aca="false">X18-V18</f>
        <v>25</v>
      </c>
      <c r="X18" s="56" t="n">
        <f aca="false">A19-A18</f>
        <v>31</v>
      </c>
      <c r="Y18" s="74" t="n">
        <v>5</v>
      </c>
      <c r="Z18" s="75" t="n">
        <v>5</v>
      </c>
      <c r="AA18" s="56" t="n">
        <f aca="false">Y18+Z18</f>
        <v>10</v>
      </c>
      <c r="AB18" s="56" t="n">
        <f aca="false">X18-AA18</f>
        <v>21</v>
      </c>
      <c r="AC18" s="0" t="n">
        <v>1</v>
      </c>
      <c r="AD18" s="0" t="n">
        <f aca="false">X18*24</f>
        <v>744</v>
      </c>
      <c r="AE18" s="0" t="n">
        <f aca="false">W18*16</f>
        <v>400</v>
      </c>
      <c r="AF18" s="0" t="n">
        <f aca="false">V18*24+W18*8</f>
        <v>344</v>
      </c>
      <c r="AH18" s="0" t="n">
        <f aca="false">X18*24</f>
        <v>744</v>
      </c>
      <c r="AI18" s="0" t="n">
        <f aca="false">AB18*16</f>
        <v>336</v>
      </c>
      <c r="AJ18" s="0" t="n">
        <f aca="false">AB18*13</f>
        <v>273</v>
      </c>
      <c r="AK18" s="0" t="n">
        <f aca="false">AB18*14</f>
        <v>294</v>
      </c>
      <c r="AL18" s="0" t="n">
        <f aca="false">AB18*8</f>
        <v>168</v>
      </c>
      <c r="AM18" s="0" t="n">
        <f aca="false">AA18*24</f>
        <v>240</v>
      </c>
      <c r="AO18" s="68" t="n">
        <f aca="false">AI18/AH18</f>
        <v>0.451612903225806</v>
      </c>
      <c r="AP18" s="68" t="n">
        <f aca="false">AL18/AH18</f>
        <v>0.225806451612903</v>
      </c>
      <c r="AQ18" s="68" t="n">
        <f aca="false">1-(AO18+AP18)</f>
        <v>0.32258064516129</v>
      </c>
      <c r="AR18" s="48" t="n">
        <f aca="false">AQ18+AP18</f>
        <v>0.548387096774194</v>
      </c>
      <c r="AT18" s="68" t="n">
        <f aca="false">AJ18/AH18</f>
        <v>0.366935483870968</v>
      </c>
      <c r="AU18" s="48" t="n">
        <f aca="false">1-AT18</f>
        <v>0.633064516129032</v>
      </c>
      <c r="AV18" s="68" t="n">
        <f aca="false">AJ18/AH18</f>
        <v>0.366935483870968</v>
      </c>
      <c r="AW18" s="48" t="n">
        <f aca="false">1-AV18</f>
        <v>0.633064516129032</v>
      </c>
      <c r="AY18" s="36" t="n">
        <f aca="false">AP18/(AP18+AQ18)</f>
        <v>0.411764705882353</v>
      </c>
      <c r="BA18" s="68" t="n">
        <f aca="false">AK18/AD18</f>
        <v>0.395161290322581</v>
      </c>
      <c r="BB18" s="52" t="n">
        <f aca="false">A18</f>
        <v>36708</v>
      </c>
    </row>
    <row r="19" customFormat="false" ht="12.75" hidden="false" customHeight="false" outlineLevel="0" collapsed="false">
      <c r="A19" s="52" t="n">
        <v>36739</v>
      </c>
      <c r="B19" s="59" t="n">
        <v>80</v>
      </c>
      <c r="C19" s="59" t="n">
        <v>49.9354838709677</v>
      </c>
      <c r="D19" s="60" t="n">
        <v>80</v>
      </c>
      <c r="E19" s="60" t="n">
        <v>60</v>
      </c>
      <c r="F19" s="60" t="n">
        <f aca="false">((G19*AD19)-(B19*AE19))*(1/AF19)</f>
        <v>52</v>
      </c>
      <c r="G19" s="54" t="n">
        <f aca="false">((Z19*16*E19)+(B19*W19*16)+(X19*8*C19))/(X19*24)</f>
        <v>68.258064516129</v>
      </c>
      <c r="H19" s="54" t="n">
        <f aca="false">(F19*AF19+B19*AE19)/AD19</f>
        <v>68.258064516129</v>
      </c>
      <c r="I19" s="54" t="n">
        <f aca="false">B19*$C$5+F19*$C$6</f>
        <v>67.68</v>
      </c>
      <c r="K19" s="76" t="n">
        <v>5.025</v>
      </c>
      <c r="M19" s="71" t="n">
        <v>1.474358929378</v>
      </c>
      <c r="N19" s="71" t="n">
        <v>0.059491170906163</v>
      </c>
      <c r="O19" s="35" t="n">
        <f aca="false">1/((1+N19)^((A19-$B$2)/365))</f>
        <v>4.28249296946718</v>
      </c>
      <c r="P19" s="64"/>
      <c r="Q19" s="54" t="n">
        <f aca="false">M19*B19</f>
        <v>117.94871435024</v>
      </c>
      <c r="R19" s="54" t="n">
        <f aca="false">C19*M19</f>
        <v>73.6228265379724</v>
      </c>
      <c r="S19" s="54" t="n">
        <f aca="false">M19*G19</f>
        <v>100.636886921415</v>
      </c>
      <c r="T19" s="54" t="n">
        <f aca="false">F19*M19</f>
        <v>76.6666643276561</v>
      </c>
      <c r="V19" s="56" t="n">
        <f aca="false">Z19+AC19</f>
        <v>4</v>
      </c>
      <c r="W19" s="56" t="n">
        <f aca="false">X19-V19</f>
        <v>27</v>
      </c>
      <c r="X19" s="56" t="n">
        <f aca="false">A20-A19</f>
        <v>31</v>
      </c>
      <c r="Y19" s="74" t="n">
        <v>4</v>
      </c>
      <c r="Z19" s="75" t="n">
        <v>4</v>
      </c>
      <c r="AA19" s="56" t="n">
        <f aca="false">Y19+Z19</f>
        <v>8</v>
      </c>
      <c r="AB19" s="56" t="n">
        <f aca="false">X19-AA19</f>
        <v>23</v>
      </c>
      <c r="AD19" s="0" t="n">
        <f aca="false">X19*24</f>
        <v>744</v>
      </c>
      <c r="AE19" s="0" t="n">
        <f aca="false">W19*16</f>
        <v>432</v>
      </c>
      <c r="AF19" s="0" t="n">
        <f aca="false">V19*24+W19*8</f>
        <v>312</v>
      </c>
      <c r="AH19" s="0" t="n">
        <f aca="false">X19*24</f>
        <v>744</v>
      </c>
      <c r="AI19" s="0" t="n">
        <f aca="false">AB19*16</f>
        <v>368</v>
      </c>
      <c r="AJ19" s="0" t="n">
        <f aca="false">AB19*13</f>
        <v>299</v>
      </c>
      <c r="AK19" s="0" t="n">
        <f aca="false">AB19*14</f>
        <v>322</v>
      </c>
      <c r="AL19" s="0" t="n">
        <f aca="false">AB19*8</f>
        <v>184</v>
      </c>
      <c r="AM19" s="0" t="n">
        <f aca="false">AA19*24</f>
        <v>192</v>
      </c>
      <c r="AO19" s="68" t="n">
        <f aca="false">AI19/AH19</f>
        <v>0.494623655913979</v>
      </c>
      <c r="AP19" s="68" t="n">
        <f aca="false">AL19/AH19</f>
        <v>0.247311827956989</v>
      </c>
      <c r="AQ19" s="68" t="n">
        <f aca="false">1-(AO19+AP19)</f>
        <v>0.258064516129032</v>
      </c>
      <c r="AR19" s="48" t="n">
        <f aca="false">AQ19+AP19</f>
        <v>0.505376344086022</v>
      </c>
      <c r="AT19" s="68" t="n">
        <f aca="false">AJ19/AH19</f>
        <v>0.401881720430108</v>
      </c>
      <c r="AU19" s="48" t="n">
        <f aca="false">1-AT19</f>
        <v>0.598118279569893</v>
      </c>
      <c r="AV19" s="68" t="n">
        <f aca="false">AJ19/AH19</f>
        <v>0.401881720430108</v>
      </c>
      <c r="AW19" s="48" t="n">
        <f aca="false">1-AV19</f>
        <v>0.598118279569893</v>
      </c>
      <c r="AY19" s="36" t="n">
        <f aca="false">AP19/(AP19+AQ19)</f>
        <v>0.48936170212766</v>
      </c>
      <c r="BA19" s="68" t="n">
        <f aca="false">AK19/AD19</f>
        <v>0.432795698924731</v>
      </c>
      <c r="BB19" s="52" t="n">
        <f aca="false">A19</f>
        <v>36739</v>
      </c>
    </row>
    <row r="20" customFormat="false" ht="12.75" hidden="false" customHeight="false" outlineLevel="0" collapsed="false">
      <c r="A20" s="52" t="n">
        <v>36770</v>
      </c>
      <c r="B20" s="59" t="n">
        <v>77</v>
      </c>
      <c r="C20" s="59" t="n">
        <v>48.75</v>
      </c>
      <c r="D20" s="60" t="n">
        <v>77</v>
      </c>
      <c r="E20" s="60" t="n">
        <v>57.75</v>
      </c>
      <c r="F20" s="60" t="n">
        <f aca="false">((G20*AD20)-(B20*AE20))*(1/AF20)</f>
        <v>48.1125</v>
      </c>
      <c r="G20" s="54" t="n">
        <f aca="false">((Z20*16*E20)+(B20*W20*16)+(X20*8*C20))/(X20*24)</f>
        <v>64.1611111111111</v>
      </c>
      <c r="H20" s="54" t="n">
        <f aca="false">(F20*AF20+B20*AE20)/AD20</f>
        <v>64.1611111111111</v>
      </c>
      <c r="I20" s="54" t="n">
        <f aca="false">B20*$C$5+F20*$C$6</f>
        <v>64.2895</v>
      </c>
      <c r="K20" s="76" t="n">
        <v>5.05</v>
      </c>
      <c r="M20" s="71" t="n">
        <v>1.473198224941</v>
      </c>
      <c r="N20" s="71" t="n">
        <v>0.059701204203388</v>
      </c>
      <c r="O20" s="35" t="n">
        <f aca="false">1/((1+N20)^((A20-$B$2)/365))</f>
        <v>4.28276813511487</v>
      </c>
      <c r="P20" s="64"/>
      <c r="Q20" s="54" t="n">
        <f aca="false">M20*B20</f>
        <v>113.436263320457</v>
      </c>
      <c r="R20" s="54" t="n">
        <f aca="false">C20*M20</f>
        <v>71.8184134658738</v>
      </c>
      <c r="S20" s="54" t="n">
        <f aca="false">M20*G20</f>
        <v>94.5220349991312</v>
      </c>
      <c r="T20" s="54" t="n">
        <f aca="false">F20*M20</f>
        <v>70.8792495974739</v>
      </c>
      <c r="V20" s="56" t="n">
        <f aca="false">Z20+AC20</f>
        <v>5</v>
      </c>
      <c r="W20" s="56" t="n">
        <f aca="false">X20-V20</f>
        <v>25</v>
      </c>
      <c r="X20" s="56" t="n">
        <f aca="false">A21-A20</f>
        <v>30</v>
      </c>
      <c r="Y20" s="74" t="n">
        <v>5</v>
      </c>
      <c r="Z20" s="75" t="n">
        <v>4</v>
      </c>
      <c r="AA20" s="56" t="n">
        <f aca="false">Y20+Z20</f>
        <v>9</v>
      </c>
      <c r="AB20" s="56" t="n">
        <f aca="false">X20-AA20</f>
        <v>21</v>
      </c>
      <c r="AC20" s="0" t="n">
        <v>1</v>
      </c>
      <c r="AD20" s="0" t="n">
        <f aca="false">X20*24</f>
        <v>720</v>
      </c>
      <c r="AE20" s="0" t="n">
        <f aca="false">W20*16</f>
        <v>400</v>
      </c>
      <c r="AF20" s="0" t="n">
        <f aca="false">V20*24+W20*8</f>
        <v>320</v>
      </c>
      <c r="AH20" s="0" t="n">
        <f aca="false">X20*24</f>
        <v>720</v>
      </c>
      <c r="AI20" s="0" t="n">
        <f aca="false">AB20*16</f>
        <v>336</v>
      </c>
      <c r="AJ20" s="0" t="n">
        <f aca="false">AB20*13</f>
        <v>273</v>
      </c>
      <c r="AK20" s="0" t="n">
        <f aca="false">AB20*14</f>
        <v>294</v>
      </c>
      <c r="AL20" s="0" t="n">
        <f aca="false">AB20*8</f>
        <v>168</v>
      </c>
      <c r="AM20" s="0" t="n">
        <f aca="false">AA20*24</f>
        <v>216</v>
      </c>
      <c r="AO20" s="68" t="n">
        <f aca="false">AI20/AH20</f>
        <v>0.466666666666667</v>
      </c>
      <c r="AP20" s="68" t="n">
        <f aca="false">AL20/AH20</f>
        <v>0.233333333333333</v>
      </c>
      <c r="AQ20" s="68" t="n">
        <f aca="false">1-(AO20+AP20)</f>
        <v>0.3</v>
      </c>
      <c r="AR20" s="48" t="n">
        <f aca="false">AQ20+AP20</f>
        <v>0.533333333333333</v>
      </c>
      <c r="AT20" s="68" t="n">
        <f aca="false">AJ20/AH20</f>
        <v>0.379166666666667</v>
      </c>
      <c r="AU20" s="48" t="n">
        <f aca="false">1-AT20</f>
        <v>0.620833333333333</v>
      </c>
      <c r="AV20" s="68" t="n">
        <f aca="false">AJ20/AH20</f>
        <v>0.379166666666667</v>
      </c>
      <c r="AW20" s="48" t="n">
        <f aca="false">1-AV20</f>
        <v>0.620833333333333</v>
      </c>
      <c r="AY20" s="36" t="n">
        <f aca="false">AP20/(AP20+AQ20)</f>
        <v>0.4375</v>
      </c>
      <c r="BA20" s="68" t="n">
        <f aca="false">AK20/AD20</f>
        <v>0.408333333333333</v>
      </c>
      <c r="BB20" s="52" t="n">
        <f aca="false">A20</f>
        <v>36770</v>
      </c>
    </row>
    <row r="21" customFormat="false" ht="12.75" hidden="false" customHeight="false" outlineLevel="0" collapsed="false">
      <c r="A21" s="52" t="n">
        <v>36800</v>
      </c>
      <c r="B21" s="59" t="n">
        <v>67.5</v>
      </c>
      <c r="C21" s="59" t="n">
        <v>55.0887096774194</v>
      </c>
      <c r="D21" s="60" t="n">
        <v>67.5</v>
      </c>
      <c r="E21" s="60" t="n">
        <v>50.625</v>
      </c>
      <c r="F21" s="60" t="n">
        <f aca="false">((G21*AD21)-(B21*AE21))*(1/AF21)</f>
        <v>54</v>
      </c>
      <c r="G21" s="54" t="n">
        <f aca="false">((Z21*16*E21)+(B21*W21*16)+(X21*8*C21))/(X21*24)</f>
        <v>61.5483870967742</v>
      </c>
      <c r="H21" s="54" t="n">
        <f aca="false">(F21*AF21+B21*AE21)/AD21</f>
        <v>61.5483870967742</v>
      </c>
      <c r="I21" s="54" t="n">
        <f aca="false">B21*$C$5+F21*$C$6</f>
        <v>61.56</v>
      </c>
      <c r="K21" s="76" t="n">
        <v>5.165</v>
      </c>
      <c r="M21" s="71" t="n">
        <v>1.472022534431</v>
      </c>
      <c r="N21" s="71" t="n">
        <v>0.059918520071132</v>
      </c>
      <c r="O21" s="35" t="n">
        <f aca="false">1/((1+N21)^((A21-$B$2)/365))</f>
        <v>4.28431364507189</v>
      </c>
      <c r="P21" s="64"/>
      <c r="Q21" s="54" t="n">
        <f aca="false">M21*B21</f>
        <v>99.3615210740925</v>
      </c>
      <c r="R21" s="54" t="n">
        <f aca="false">C21*M21</f>
        <v>81.0918220378884</v>
      </c>
      <c r="S21" s="54" t="n">
        <f aca="false">M21*G21</f>
        <v>90.6006127643338</v>
      </c>
      <c r="T21" s="54" t="n">
        <f aca="false">F21*M21</f>
        <v>79.489216859274</v>
      </c>
      <c r="V21" s="56" t="n">
        <f aca="false">Z21+AC21</f>
        <v>5</v>
      </c>
      <c r="W21" s="56" t="n">
        <f aca="false">X21-V21</f>
        <v>26</v>
      </c>
      <c r="X21" s="56" t="n">
        <f aca="false">A22-A21</f>
        <v>31</v>
      </c>
      <c r="Y21" s="74" t="n">
        <v>4</v>
      </c>
      <c r="Z21" s="75" t="n">
        <v>5</v>
      </c>
      <c r="AA21" s="56" t="n">
        <f aca="false">Y21+Z21</f>
        <v>9</v>
      </c>
      <c r="AB21" s="56" t="n">
        <f aca="false">X21-AA21</f>
        <v>22</v>
      </c>
      <c r="AD21" s="0" t="n">
        <f aca="false">X21*24</f>
        <v>744</v>
      </c>
      <c r="AE21" s="0" t="n">
        <f aca="false">W21*16</f>
        <v>416</v>
      </c>
      <c r="AF21" s="0" t="n">
        <f aca="false">V21*24+W21*8</f>
        <v>328</v>
      </c>
      <c r="AH21" s="0" t="n">
        <f aca="false">X21*24</f>
        <v>744</v>
      </c>
      <c r="AI21" s="0" t="n">
        <f aca="false">AB21*16</f>
        <v>352</v>
      </c>
      <c r="AJ21" s="0" t="n">
        <f aca="false">AB21*13</f>
        <v>286</v>
      </c>
      <c r="AK21" s="0" t="n">
        <f aca="false">AB21*14</f>
        <v>308</v>
      </c>
      <c r="AL21" s="0" t="n">
        <f aca="false">AB21*8</f>
        <v>176</v>
      </c>
      <c r="AM21" s="0" t="n">
        <f aca="false">AA21*24</f>
        <v>216</v>
      </c>
      <c r="AO21" s="68" t="n">
        <f aca="false">AI21/AH21</f>
        <v>0.473118279569893</v>
      </c>
      <c r="AP21" s="68" t="n">
        <f aca="false">AL21/AH21</f>
        <v>0.236559139784946</v>
      </c>
      <c r="AQ21" s="68" t="n">
        <f aca="false">1-(AO21+AP21)</f>
        <v>0.290322580645161</v>
      </c>
      <c r="AR21" s="48" t="n">
        <f aca="false">AQ21+AP21</f>
        <v>0.526881720430108</v>
      </c>
      <c r="AT21" s="68" t="n">
        <f aca="false">AJ21/AH21</f>
        <v>0.384408602150538</v>
      </c>
      <c r="AU21" s="48" t="n">
        <f aca="false">1-AT21</f>
        <v>0.615591397849462</v>
      </c>
      <c r="AV21" s="68" t="n">
        <f aca="false">AJ21/AH21</f>
        <v>0.384408602150538</v>
      </c>
      <c r="AW21" s="48" t="n">
        <f aca="false">1-AV21</f>
        <v>0.615591397849462</v>
      </c>
      <c r="AY21" s="36" t="n">
        <f aca="false">AP21/(AP21+AQ21)</f>
        <v>0.448979591836735</v>
      </c>
      <c r="BA21" s="68" t="n">
        <f aca="false">AK21/AD21</f>
        <v>0.413978494623656</v>
      </c>
      <c r="BB21" s="52" t="n">
        <f aca="false">A21</f>
        <v>36800</v>
      </c>
    </row>
    <row r="22" customFormat="false" ht="12.75" hidden="false" customHeight="false" outlineLevel="0" collapsed="false">
      <c r="A22" s="52" t="n">
        <v>36831</v>
      </c>
      <c r="B22" s="59" t="n">
        <v>58</v>
      </c>
      <c r="C22" s="59" t="n">
        <v>56.1666666666667</v>
      </c>
      <c r="D22" s="60" t="n">
        <v>58</v>
      </c>
      <c r="E22" s="60" t="n">
        <v>43.5</v>
      </c>
      <c r="F22" s="60" t="n">
        <f aca="false">((G22*AD22)-(B22*AE22))*(1/AF22)</f>
        <v>50.825</v>
      </c>
      <c r="G22" s="54" t="n">
        <f aca="false">((Z22*16*E22)+(B22*W22*16)+(X22*8*C22))/(X22*24)</f>
        <v>54.8111111111111</v>
      </c>
      <c r="H22" s="54" t="n">
        <f aca="false">(F22*AF22+B22*AE22)/AD22</f>
        <v>54.8111111111111</v>
      </c>
      <c r="I22" s="54" t="n">
        <f aca="false">B22*$C$5+F22*$C$6</f>
        <v>54.843</v>
      </c>
      <c r="K22" s="76" t="n">
        <v>5.28</v>
      </c>
      <c r="M22" s="71" t="n">
        <v>1.470826725565</v>
      </c>
      <c r="N22" s="71" t="n">
        <v>0.060130107934826</v>
      </c>
      <c r="O22" s="35" t="n">
        <f aca="false">1/((1+N22)^((A22-$B$2)/365))</f>
        <v>4.28444826854293</v>
      </c>
      <c r="P22" s="64"/>
      <c r="Q22" s="54" t="n">
        <f aca="false">M22*B22</f>
        <v>85.30795008277</v>
      </c>
      <c r="R22" s="54" t="n">
        <f aca="false">C22*M22</f>
        <v>82.6114344192342</v>
      </c>
      <c r="S22" s="54" t="n">
        <f aca="false">M22*G22</f>
        <v>80.6176470801349</v>
      </c>
      <c r="T22" s="54" t="n">
        <f aca="false">F22*M22</f>
        <v>74.7547683268411</v>
      </c>
      <c r="V22" s="56" t="n">
        <f aca="false">Z22+AC22</f>
        <v>5</v>
      </c>
      <c r="W22" s="56" t="n">
        <f aca="false">X22-V22</f>
        <v>25</v>
      </c>
      <c r="X22" s="56" t="n">
        <f aca="false">A23-A22</f>
        <v>30</v>
      </c>
      <c r="Y22" s="74" t="n">
        <v>4</v>
      </c>
      <c r="Z22" s="75" t="n">
        <v>4</v>
      </c>
      <c r="AA22" s="56" t="n">
        <f aca="false">Y22+Z22</f>
        <v>8</v>
      </c>
      <c r="AB22" s="56" t="n">
        <f aca="false">X22-AA22</f>
        <v>22</v>
      </c>
      <c r="AC22" s="0" t="n">
        <v>1</v>
      </c>
      <c r="AD22" s="0" t="n">
        <f aca="false">X22*24</f>
        <v>720</v>
      </c>
      <c r="AE22" s="0" t="n">
        <f aca="false">W22*16</f>
        <v>400</v>
      </c>
      <c r="AF22" s="0" t="n">
        <f aca="false">V22*24+W22*8</f>
        <v>320</v>
      </c>
      <c r="AH22" s="0" t="n">
        <f aca="false">X22*24</f>
        <v>720</v>
      </c>
      <c r="AI22" s="0" t="n">
        <f aca="false">AB22*16</f>
        <v>352</v>
      </c>
      <c r="AJ22" s="0" t="n">
        <f aca="false">AB22*13</f>
        <v>286</v>
      </c>
      <c r="AK22" s="0" t="n">
        <f aca="false">AB22*14</f>
        <v>308</v>
      </c>
      <c r="AL22" s="0" t="n">
        <f aca="false">AB22*8</f>
        <v>176</v>
      </c>
      <c r="AM22" s="0" t="n">
        <f aca="false">AA22*24</f>
        <v>192</v>
      </c>
      <c r="AO22" s="68" t="n">
        <f aca="false">AI22/AH22</f>
        <v>0.488888888888889</v>
      </c>
      <c r="AP22" s="68" t="n">
        <f aca="false">AL22/AH22</f>
        <v>0.244444444444444</v>
      </c>
      <c r="AQ22" s="68" t="n">
        <f aca="false">1-(AO22+AP22)</f>
        <v>0.266666666666667</v>
      </c>
      <c r="AR22" s="48" t="n">
        <f aca="false">AQ22+AP22</f>
        <v>0.511111111111111</v>
      </c>
      <c r="AT22" s="68" t="n">
        <f aca="false">AJ22/AH22</f>
        <v>0.397222222222222</v>
      </c>
      <c r="AU22" s="48" t="n">
        <f aca="false">1-AT22</f>
        <v>0.602777777777778</v>
      </c>
      <c r="AV22" s="68" t="n">
        <f aca="false">AJ22/AH22</f>
        <v>0.397222222222222</v>
      </c>
      <c r="AW22" s="48" t="n">
        <f aca="false">1-AV22</f>
        <v>0.602777777777778</v>
      </c>
      <c r="AY22" s="36" t="n">
        <f aca="false">AP22/(AP22+AQ22)</f>
        <v>0.478260869565217</v>
      </c>
      <c r="BA22" s="68" t="n">
        <f aca="false">AK22/AD22</f>
        <v>0.427777777777778</v>
      </c>
      <c r="BB22" s="52" t="n">
        <f aca="false">A22</f>
        <v>36831</v>
      </c>
    </row>
    <row r="23" customFormat="false" ht="12.75" hidden="false" customHeight="false" outlineLevel="0" collapsed="false">
      <c r="A23" s="52" t="n">
        <v>36861</v>
      </c>
      <c r="B23" s="59" t="n">
        <v>54.25</v>
      </c>
      <c r="C23" s="59" t="n">
        <v>38.3467741935484</v>
      </c>
      <c r="D23" s="60" t="n">
        <v>54.25</v>
      </c>
      <c r="E23" s="60" t="n">
        <v>40.6875</v>
      </c>
      <c r="F23" s="60" t="n">
        <f aca="false">((G23*AD23)-(B23*AE23))*(1/AF23)</f>
        <v>37.1075581395349</v>
      </c>
      <c r="G23" s="54" t="n">
        <f aca="false">((Z23*16*E23)+(B23*W23*16)+(X23*8*C23))/(X23*24)</f>
        <v>46.3239247311828</v>
      </c>
      <c r="H23" s="54" t="n">
        <f aca="false">(F23*AF23+B23*AE23)/AD23</f>
        <v>46.3239247311828</v>
      </c>
      <c r="I23" s="54" t="n">
        <f aca="false">B23*$C$5+F23*$C$6</f>
        <v>46.7073255813954</v>
      </c>
      <c r="K23" s="76" t="n">
        <v>5.43</v>
      </c>
      <c r="M23" s="71" t="n">
        <v>1.469646622557</v>
      </c>
      <c r="N23" s="71" t="n">
        <v>0.060334870397725</v>
      </c>
      <c r="O23" s="35" t="n">
        <f aca="false">1/((1+N23)^((A23-$B$2)/365))</f>
        <v>4.2844362029083</v>
      </c>
      <c r="P23" s="64"/>
      <c r="Q23" s="54" t="n">
        <f aca="false">M23*B23</f>
        <v>79.7283292737173</v>
      </c>
      <c r="R23" s="54" t="n">
        <f aca="false">C23*M23</f>
        <v>56.3562071795043</v>
      </c>
      <c r="S23" s="54" t="n">
        <f aca="false">M23*G23</f>
        <v>68.0797995247675</v>
      </c>
      <c r="T23" s="54" t="n">
        <f aca="false">F23*M23</f>
        <v>54.534997491105</v>
      </c>
      <c r="V23" s="56" t="n">
        <f aca="false">Z23+AC23</f>
        <v>6</v>
      </c>
      <c r="W23" s="56" t="n">
        <f aca="false">X23-V23</f>
        <v>25</v>
      </c>
      <c r="X23" s="56" t="n">
        <f aca="false">A24-A23</f>
        <v>31</v>
      </c>
      <c r="Y23" s="74" t="n">
        <v>5</v>
      </c>
      <c r="Z23" s="75" t="n">
        <v>5</v>
      </c>
      <c r="AA23" s="56" t="n">
        <f aca="false">Y23+Z23</f>
        <v>10</v>
      </c>
      <c r="AB23" s="56" t="n">
        <f aca="false">X23-AA23</f>
        <v>21</v>
      </c>
      <c r="AC23" s="0" t="n">
        <v>1</v>
      </c>
      <c r="AD23" s="0" t="n">
        <f aca="false">X23*24</f>
        <v>744</v>
      </c>
      <c r="AE23" s="0" t="n">
        <f aca="false">W23*16</f>
        <v>400</v>
      </c>
      <c r="AF23" s="0" t="n">
        <f aca="false">V23*24+W23*8</f>
        <v>344</v>
      </c>
      <c r="AH23" s="0" t="n">
        <f aca="false">X23*24</f>
        <v>744</v>
      </c>
      <c r="AI23" s="0" t="n">
        <f aca="false">AB23*16</f>
        <v>336</v>
      </c>
      <c r="AJ23" s="0" t="n">
        <f aca="false">AB23*13</f>
        <v>273</v>
      </c>
      <c r="AK23" s="0" t="n">
        <f aca="false">AB23*14</f>
        <v>294</v>
      </c>
      <c r="AL23" s="0" t="n">
        <f aca="false">AB23*8</f>
        <v>168</v>
      </c>
      <c r="AM23" s="0" t="n">
        <f aca="false">AA23*24</f>
        <v>240</v>
      </c>
      <c r="AO23" s="68" t="n">
        <f aca="false">AI23/AH23</f>
        <v>0.451612903225806</v>
      </c>
      <c r="AP23" s="68" t="n">
        <f aca="false">AL23/AH23</f>
        <v>0.225806451612903</v>
      </c>
      <c r="AQ23" s="68" t="n">
        <f aca="false">1-(AO23+AP23)</f>
        <v>0.32258064516129</v>
      </c>
      <c r="AR23" s="48" t="n">
        <f aca="false">AQ23+AP23</f>
        <v>0.548387096774194</v>
      </c>
      <c r="AT23" s="68" t="n">
        <f aca="false">AJ23/AH23</f>
        <v>0.366935483870968</v>
      </c>
      <c r="AU23" s="48" t="n">
        <f aca="false">1-AT23</f>
        <v>0.633064516129032</v>
      </c>
      <c r="AV23" s="68" t="n">
        <f aca="false">AJ23/AH23</f>
        <v>0.366935483870968</v>
      </c>
      <c r="AW23" s="48" t="n">
        <f aca="false">1-AV23</f>
        <v>0.633064516129032</v>
      </c>
      <c r="AY23" s="36" t="n">
        <f aca="false">AP23/(AP23+AQ23)</f>
        <v>0.411764705882353</v>
      </c>
      <c r="BA23" s="68" t="n">
        <f aca="false">AK23/AD23</f>
        <v>0.395161290322581</v>
      </c>
      <c r="BB23" s="52" t="n">
        <f aca="false">A23</f>
        <v>36861</v>
      </c>
    </row>
    <row r="24" customFormat="false" ht="12.75" hidden="false" customHeight="false" outlineLevel="0" collapsed="false">
      <c r="A24" s="52" t="n">
        <v>36892</v>
      </c>
      <c r="B24" s="59" t="n">
        <v>53</v>
      </c>
      <c r="C24" s="59" t="n">
        <v>36.7741935483871</v>
      </c>
      <c r="D24" s="60" t="n">
        <v>53</v>
      </c>
      <c r="E24" s="60" t="n">
        <v>39.75</v>
      </c>
      <c r="F24" s="60" t="n">
        <f aca="false">((G24*AD24)-(B24*AE24))*(1/AF24)</f>
        <v>35.5609756097561</v>
      </c>
      <c r="G24" s="54" t="n">
        <f aca="false">((Z24*16*E24)+(B24*W24*16)+(X24*8*C24))/(X24*24)</f>
        <v>45.3118279569893</v>
      </c>
      <c r="H24" s="54" t="n">
        <f aca="false">(F24*AF24+B24*AE24)/AD24</f>
        <v>45.3118279569893</v>
      </c>
      <c r="I24" s="54" t="n">
        <f aca="false">B24*$C$5+F24*$C$6</f>
        <v>45.3268292682927</v>
      </c>
      <c r="K24" s="76" t="n">
        <v>5.49</v>
      </c>
      <c r="M24" s="71" t="n">
        <v>1.468407874115</v>
      </c>
      <c r="N24" s="71" t="n">
        <v>0.060550576739053</v>
      </c>
      <c r="O24" s="35" t="n">
        <f aca="false">1/((1+N24)^((A24-$B$2)/365))</f>
        <v>4.28468849123454</v>
      </c>
      <c r="P24" s="64"/>
      <c r="Q24" s="54" t="n">
        <f aca="false">M24*B24</f>
        <v>77.825617328095</v>
      </c>
      <c r="R24" s="54" t="n">
        <f aca="false">C24*M24</f>
        <v>53.9995153706806</v>
      </c>
      <c r="S24" s="54" t="n">
        <f aca="false">M24*G24</f>
        <v>66.5362449625872</v>
      </c>
      <c r="T24" s="54" t="n">
        <f aca="false">F24*M24</f>
        <v>52.2180165965773</v>
      </c>
      <c r="V24" s="56" t="n">
        <f aca="false">Z24+AC24</f>
        <v>5</v>
      </c>
      <c r="W24" s="56" t="n">
        <f aca="false">X24-V24</f>
        <v>26</v>
      </c>
      <c r="X24" s="56" t="n">
        <f aca="false">A25-A24</f>
        <v>31</v>
      </c>
      <c r="Y24" s="74" t="n">
        <v>4</v>
      </c>
      <c r="Z24" s="74" t="n">
        <v>4</v>
      </c>
      <c r="AA24" s="56" t="n">
        <f aca="false">Y24+Z24</f>
        <v>8</v>
      </c>
      <c r="AB24" s="56" t="n">
        <f aca="false">X24-AA24</f>
        <v>23</v>
      </c>
      <c r="AC24" s="0" t="n">
        <v>1</v>
      </c>
      <c r="AD24" s="0" t="n">
        <f aca="false">X24*24</f>
        <v>744</v>
      </c>
      <c r="AE24" s="0" t="n">
        <f aca="false">W24*16</f>
        <v>416</v>
      </c>
      <c r="AF24" s="0" t="n">
        <f aca="false">V24*24+W24*8</f>
        <v>328</v>
      </c>
      <c r="AH24" s="0" t="n">
        <f aca="false">X24*24</f>
        <v>744</v>
      </c>
      <c r="AI24" s="0" t="n">
        <f aca="false">AB24*16</f>
        <v>368</v>
      </c>
      <c r="AJ24" s="0" t="n">
        <f aca="false">AB24*13</f>
        <v>299</v>
      </c>
      <c r="AK24" s="0" t="n">
        <f aca="false">AB24*14</f>
        <v>322</v>
      </c>
      <c r="AL24" s="0" t="n">
        <f aca="false">AB24*8</f>
        <v>184</v>
      </c>
      <c r="AM24" s="0" t="n">
        <f aca="false">AA24*24</f>
        <v>192</v>
      </c>
      <c r="AO24" s="68" t="n">
        <f aca="false">AI24/AH24</f>
        <v>0.494623655913979</v>
      </c>
      <c r="AP24" s="68" t="n">
        <f aca="false">AL24/AH24</f>
        <v>0.247311827956989</v>
      </c>
      <c r="AQ24" s="68" t="n">
        <f aca="false">1-(AO24+AP24)</f>
        <v>0.258064516129032</v>
      </c>
      <c r="AR24" s="48" t="n">
        <f aca="false">AQ24+AP24</f>
        <v>0.505376344086022</v>
      </c>
      <c r="AT24" s="68" t="n">
        <f aca="false">AJ24/AH24</f>
        <v>0.401881720430108</v>
      </c>
      <c r="AU24" s="48" t="n">
        <f aca="false">1-AT24</f>
        <v>0.598118279569893</v>
      </c>
      <c r="AV24" s="68" t="n">
        <f aca="false">AJ24/AH24</f>
        <v>0.401881720430108</v>
      </c>
      <c r="AW24" s="48" t="n">
        <f aca="false">1-AV24</f>
        <v>0.598118279569893</v>
      </c>
      <c r="AY24" s="36" t="n">
        <f aca="false">AP24/(AP24+AQ24)</f>
        <v>0.48936170212766</v>
      </c>
      <c r="BA24" s="68" t="n">
        <f aca="false">AK24/AD24</f>
        <v>0.432795698924731</v>
      </c>
      <c r="BB24" s="52" t="n">
        <f aca="false">A24</f>
        <v>36892</v>
      </c>
    </row>
    <row r="25" customFormat="false" ht="12.75" hidden="false" customHeight="false" outlineLevel="0" collapsed="false">
      <c r="A25" s="52" t="n">
        <v>36923</v>
      </c>
      <c r="B25" s="59" t="n">
        <v>49.5</v>
      </c>
      <c r="C25" s="59" t="n">
        <v>32.7857142857143</v>
      </c>
      <c r="D25" s="60" t="n">
        <v>49.5</v>
      </c>
      <c r="E25" s="60" t="n">
        <v>37.125</v>
      </c>
      <c r="F25" s="60" t="n">
        <f aca="false">((G25*AD25)-(B25*AE25))*(1/AF25)</f>
        <v>33.75</v>
      </c>
      <c r="G25" s="54" t="n">
        <f aca="false">((Z25*16*E25)+(B25*W25*16)+(X25*8*C25))/(X25*24)</f>
        <v>42.75</v>
      </c>
      <c r="H25" s="54" t="n">
        <f aca="false">(F25*AF25+B25*AE25)/AD25</f>
        <v>42.75</v>
      </c>
      <c r="I25" s="54" t="n">
        <f aca="false">B25*$C$5+F25*$C$6</f>
        <v>42.57</v>
      </c>
      <c r="K25" s="76" t="n">
        <v>5.25</v>
      </c>
      <c r="M25" s="71" t="n">
        <v>1.467152959489</v>
      </c>
      <c r="N25" s="71" t="n">
        <v>0.060771284069216</v>
      </c>
      <c r="O25" s="35" t="n">
        <f aca="false">1/((1+N25)^((A25-$B$2)/365))</f>
        <v>4.28528666346749</v>
      </c>
      <c r="P25" s="64"/>
      <c r="Q25" s="54" t="n">
        <f aca="false">M25*B25</f>
        <v>72.6240714947055</v>
      </c>
      <c r="R25" s="54" t="n">
        <f aca="false">C25*M25</f>
        <v>48.1016577432465</v>
      </c>
      <c r="S25" s="54" t="n">
        <f aca="false">M25*G25</f>
        <v>62.7207890181547</v>
      </c>
      <c r="T25" s="54" t="n">
        <f aca="false">F25*M25</f>
        <v>49.5164123827537</v>
      </c>
      <c r="V25" s="56" t="n">
        <f aca="false">Z25+AC25</f>
        <v>4</v>
      </c>
      <c r="W25" s="56" t="n">
        <f aca="false">X25-V25</f>
        <v>24</v>
      </c>
      <c r="X25" s="56" t="n">
        <f aca="false">A26-A25</f>
        <v>28</v>
      </c>
      <c r="Y25" s="77" t="n">
        <v>4</v>
      </c>
      <c r="Z25" s="77" t="n">
        <v>4</v>
      </c>
      <c r="AA25" s="56" t="n">
        <f aca="false">Y25+Z25</f>
        <v>8</v>
      </c>
      <c r="AB25" s="56" t="n">
        <f aca="false">X25-AA25</f>
        <v>20</v>
      </c>
      <c r="AD25" s="0" t="n">
        <f aca="false">X25*24</f>
        <v>672</v>
      </c>
      <c r="AE25" s="0" t="n">
        <f aca="false">W25*16</f>
        <v>384</v>
      </c>
      <c r="AF25" s="0" t="n">
        <f aca="false">V25*24+W25*8</f>
        <v>288</v>
      </c>
      <c r="AH25" s="0" t="n">
        <f aca="false">X25*24</f>
        <v>672</v>
      </c>
      <c r="AI25" s="0" t="n">
        <f aca="false">AB25*16</f>
        <v>320</v>
      </c>
      <c r="AJ25" s="0" t="n">
        <f aca="false">AB25*13</f>
        <v>260</v>
      </c>
      <c r="AK25" s="0" t="n">
        <f aca="false">AB25*14</f>
        <v>280</v>
      </c>
      <c r="AL25" s="0" t="n">
        <f aca="false">AB25*8</f>
        <v>160</v>
      </c>
      <c r="AM25" s="0" t="n">
        <f aca="false">AA25*24</f>
        <v>192</v>
      </c>
      <c r="AO25" s="68" t="n">
        <f aca="false">AI25/AH25</f>
        <v>0.476190476190476</v>
      </c>
      <c r="AP25" s="68" t="n">
        <f aca="false">AL25/AH25</f>
        <v>0.238095238095238</v>
      </c>
      <c r="AQ25" s="68" t="n">
        <f aca="false">1-(AO25+AP25)</f>
        <v>0.285714285714286</v>
      </c>
      <c r="AR25" s="48" t="n">
        <f aca="false">AQ25+AP25</f>
        <v>0.523809523809524</v>
      </c>
      <c r="AT25" s="68" t="n">
        <f aca="false">AJ25/AH25</f>
        <v>0.386904761904762</v>
      </c>
      <c r="AU25" s="48" t="n">
        <f aca="false">1-AT25</f>
        <v>0.613095238095238</v>
      </c>
      <c r="AV25" s="68" t="n">
        <f aca="false">AJ25/AH25</f>
        <v>0.386904761904762</v>
      </c>
      <c r="AW25" s="48" t="n">
        <f aca="false">1-AV25</f>
        <v>0.613095238095238</v>
      </c>
      <c r="AY25" s="36" t="n">
        <f aca="false">AP25/(AP25+AQ25)</f>
        <v>0.454545454545454</v>
      </c>
      <c r="BA25" s="68" t="n">
        <f aca="false">AK25/AD25</f>
        <v>0.416666666666667</v>
      </c>
      <c r="BB25" s="52" t="n">
        <f aca="false">A25</f>
        <v>36923</v>
      </c>
    </row>
    <row r="26" customFormat="false" ht="12.75" hidden="false" customHeight="false" outlineLevel="0" collapsed="false">
      <c r="A26" s="52" t="n">
        <v>36951</v>
      </c>
      <c r="B26" s="59" t="n">
        <v>42</v>
      </c>
      <c r="C26" s="59" t="n">
        <v>26.4677419354839</v>
      </c>
      <c r="D26" s="60" t="n">
        <v>42</v>
      </c>
      <c r="E26" s="60" t="n">
        <v>31.5</v>
      </c>
      <c r="F26" s="60" t="n">
        <f aca="false">((G26*AD26)-(B26*AE26))*(1/AF26)</f>
        <v>27.5</v>
      </c>
      <c r="G26" s="54" t="n">
        <f aca="false">((Z26*16*E26)+(B26*W26*16)+(X26*8*C26))/(X26*24)</f>
        <v>35.9193548387097</v>
      </c>
      <c r="H26" s="54" t="n">
        <f aca="false">(F26*AF26+B26*AE26)/AD26</f>
        <v>35.9193548387097</v>
      </c>
      <c r="I26" s="54" t="n">
        <f aca="false">B26*$C$5+F26*$C$6</f>
        <v>35.62</v>
      </c>
      <c r="K26" s="76" t="n">
        <v>5.04</v>
      </c>
      <c r="M26" s="71" t="n">
        <v>1.466001612609</v>
      </c>
      <c r="N26" s="71" t="n">
        <v>0.060970632639399</v>
      </c>
      <c r="O26" s="35" t="n">
        <f aca="false">1/((1+N26)^((A26-$B$2)/365))</f>
        <v>4.28569289624055</v>
      </c>
      <c r="P26" s="64"/>
      <c r="Q26" s="54" t="n">
        <f aca="false">M26*B26</f>
        <v>61.572067729578</v>
      </c>
      <c r="R26" s="54" t="n">
        <f aca="false">C26*M26</f>
        <v>38.8017523595382</v>
      </c>
      <c r="S26" s="54" t="n">
        <f aca="false">M26*G26</f>
        <v>52.6578321174233</v>
      </c>
      <c r="T26" s="54" t="n">
        <f aca="false">F26*M26</f>
        <v>40.3150443467475</v>
      </c>
      <c r="V26" s="56" t="n">
        <f aca="false">Z26+AC26</f>
        <v>4</v>
      </c>
      <c r="W26" s="56" t="n">
        <f aca="false">X26-V26</f>
        <v>27</v>
      </c>
      <c r="X26" s="56" t="n">
        <f aca="false">A27-A26</f>
        <v>31</v>
      </c>
      <c r="Y26" s="77" t="n">
        <v>5</v>
      </c>
      <c r="Z26" s="77" t="n">
        <v>4</v>
      </c>
      <c r="AA26" s="56" t="n">
        <f aca="false">Y26+Z26</f>
        <v>9</v>
      </c>
      <c r="AB26" s="56" t="n">
        <f aca="false">X26-AA26</f>
        <v>22</v>
      </c>
      <c r="AD26" s="0" t="n">
        <f aca="false">X26*24</f>
        <v>744</v>
      </c>
      <c r="AE26" s="0" t="n">
        <f aca="false">W26*16</f>
        <v>432</v>
      </c>
      <c r="AF26" s="0" t="n">
        <f aca="false">V26*24+W26*8</f>
        <v>312</v>
      </c>
      <c r="AH26" s="0" t="n">
        <f aca="false">X26*24</f>
        <v>744</v>
      </c>
      <c r="AI26" s="0" t="n">
        <f aca="false">AB26*16</f>
        <v>352</v>
      </c>
      <c r="AJ26" s="0" t="n">
        <f aca="false">AB26*13</f>
        <v>286</v>
      </c>
      <c r="AK26" s="0" t="n">
        <f aca="false">AB26*14</f>
        <v>308</v>
      </c>
      <c r="AL26" s="0" t="n">
        <f aca="false">AB26*8</f>
        <v>176</v>
      </c>
      <c r="AM26" s="0" t="n">
        <f aca="false">AA26*24</f>
        <v>216</v>
      </c>
      <c r="AO26" s="68" t="n">
        <f aca="false">AI26/AH26</f>
        <v>0.473118279569893</v>
      </c>
      <c r="AP26" s="68" t="n">
        <f aca="false">AL26/AH26</f>
        <v>0.236559139784946</v>
      </c>
      <c r="AQ26" s="68" t="n">
        <f aca="false">1-(AO26+AP26)</f>
        <v>0.290322580645161</v>
      </c>
      <c r="AR26" s="48" t="n">
        <f aca="false">AQ26+AP26</f>
        <v>0.526881720430108</v>
      </c>
      <c r="AT26" s="68" t="n">
        <f aca="false">AJ26/AH26</f>
        <v>0.384408602150538</v>
      </c>
      <c r="AU26" s="48" t="n">
        <f aca="false">1-AT26</f>
        <v>0.615591397849462</v>
      </c>
      <c r="AV26" s="68" t="n">
        <f aca="false">AJ26/AH26</f>
        <v>0.384408602150538</v>
      </c>
      <c r="AW26" s="48" t="n">
        <f aca="false">1-AV26</f>
        <v>0.615591397849462</v>
      </c>
      <c r="AY26" s="36" t="n">
        <f aca="false">AP26/(AP26+AQ26)</f>
        <v>0.448979591836735</v>
      </c>
      <c r="BA26" s="68" t="n">
        <f aca="false">AK26/AD26</f>
        <v>0.413978494623656</v>
      </c>
      <c r="BB26" s="52" t="n">
        <f aca="false">A26</f>
        <v>36951</v>
      </c>
    </row>
    <row r="27" customFormat="false" ht="12.75" hidden="false" customHeight="false" outlineLevel="0" collapsed="false">
      <c r="A27" s="52" t="n">
        <v>36982</v>
      </c>
      <c r="B27" s="59" t="n">
        <v>42.25</v>
      </c>
      <c r="C27" s="59" t="n">
        <v>23.4375</v>
      </c>
      <c r="D27" s="60" t="n">
        <v>42.25</v>
      </c>
      <c r="E27" s="60" t="n">
        <v>31.6875</v>
      </c>
      <c r="F27" s="60" t="n">
        <f aca="false">((G27*AD27)-(B27*AE27))*(1/AF27)</f>
        <v>25.5</v>
      </c>
      <c r="G27" s="54" t="n">
        <f aca="false">((Z27*16*E27)+(B27*W27*16)+(X27*8*C27))/(X27*24)</f>
        <v>34.8055555555556</v>
      </c>
      <c r="H27" s="54" t="n">
        <f aca="false">(F27*AF27+B27*AE27)/AD27</f>
        <v>34.8055555555556</v>
      </c>
      <c r="I27" s="54" t="n">
        <f aca="false">B27*$C$5+F27*$C$6</f>
        <v>34.88</v>
      </c>
      <c r="K27" s="76" t="n">
        <v>4.53259329978166</v>
      </c>
      <c r="M27" s="71" t="n">
        <v>1.464746305305</v>
      </c>
      <c r="N27" s="71" t="n">
        <v>0.061163152067568</v>
      </c>
      <c r="O27" s="35" t="n">
        <f aca="false">1/((1+N27)^((A27-$B$2)/365))</f>
        <v>4.28320539384139</v>
      </c>
      <c r="P27" s="64"/>
      <c r="Q27" s="54" t="n">
        <f aca="false">M27*B27</f>
        <v>61.8855313991363</v>
      </c>
      <c r="R27" s="54" t="n">
        <f aca="false">C27*M27</f>
        <v>34.3299915305859</v>
      </c>
      <c r="S27" s="54" t="n">
        <f aca="false">M27*G27</f>
        <v>50.9813089040879</v>
      </c>
      <c r="T27" s="54" t="n">
        <f aca="false">F27*M27</f>
        <v>37.3510307852775</v>
      </c>
      <c r="V27" s="56" t="n">
        <f aca="false">Z27+AC27</f>
        <v>5</v>
      </c>
      <c r="W27" s="56" t="n">
        <f aca="false">X27-V27</f>
        <v>25</v>
      </c>
      <c r="X27" s="56" t="n">
        <f aca="false">A28-A27</f>
        <v>30</v>
      </c>
      <c r="Y27" s="77" t="n">
        <v>4</v>
      </c>
      <c r="Z27" s="77" t="n">
        <v>5</v>
      </c>
      <c r="AA27" s="56" t="n">
        <f aca="false">Y27+Z27</f>
        <v>9</v>
      </c>
      <c r="AB27" s="56" t="n">
        <f aca="false">X27-AA27</f>
        <v>21</v>
      </c>
      <c r="AD27" s="0" t="n">
        <f aca="false">X27*24</f>
        <v>720</v>
      </c>
      <c r="AE27" s="0" t="n">
        <f aca="false">W27*16</f>
        <v>400</v>
      </c>
      <c r="AF27" s="0" t="n">
        <f aca="false">V27*24+W27*8</f>
        <v>320</v>
      </c>
      <c r="AH27" s="0" t="n">
        <f aca="false">X27*24</f>
        <v>720</v>
      </c>
      <c r="AI27" s="0" t="n">
        <f aca="false">AB27*16</f>
        <v>336</v>
      </c>
      <c r="AJ27" s="0" t="n">
        <f aca="false">AB27*13</f>
        <v>273</v>
      </c>
      <c r="AK27" s="0" t="n">
        <f aca="false">AB27*14</f>
        <v>294</v>
      </c>
      <c r="AL27" s="0" t="n">
        <f aca="false">AB27*8</f>
        <v>168</v>
      </c>
      <c r="AM27" s="0" t="n">
        <f aca="false">AA27*24</f>
        <v>216</v>
      </c>
      <c r="AO27" s="68" t="n">
        <f aca="false">AI27/AH27</f>
        <v>0.466666666666667</v>
      </c>
      <c r="AP27" s="68" t="n">
        <f aca="false">AL27/AH27</f>
        <v>0.233333333333333</v>
      </c>
      <c r="AQ27" s="68" t="n">
        <f aca="false">1-(AO27+AP27)</f>
        <v>0.3</v>
      </c>
      <c r="AR27" s="48" t="n">
        <f aca="false">AQ27+AP27</f>
        <v>0.533333333333333</v>
      </c>
      <c r="AT27" s="68" t="n">
        <f aca="false">AJ27/AH27</f>
        <v>0.379166666666667</v>
      </c>
      <c r="AU27" s="48" t="n">
        <f aca="false">1-AT27</f>
        <v>0.620833333333333</v>
      </c>
      <c r="AV27" s="68" t="n">
        <f aca="false">AJ27/AH27</f>
        <v>0.379166666666667</v>
      </c>
      <c r="AW27" s="48" t="n">
        <f aca="false">1-AV27</f>
        <v>0.620833333333333</v>
      </c>
      <c r="AY27" s="36" t="n">
        <f aca="false">AP27/(AP27+AQ27)</f>
        <v>0.4375</v>
      </c>
      <c r="BA27" s="68" t="n">
        <f aca="false">AK27/AD27</f>
        <v>0.408333333333333</v>
      </c>
      <c r="BB27" s="52" t="n">
        <f aca="false">A27</f>
        <v>36982</v>
      </c>
    </row>
    <row r="28" customFormat="false" ht="12.75" hidden="false" customHeight="false" outlineLevel="0" collapsed="false">
      <c r="A28" s="52" t="n">
        <v>37012</v>
      </c>
      <c r="B28" s="59" t="n">
        <v>39.75</v>
      </c>
      <c r="C28" s="59" t="n">
        <v>18.8185483870968</v>
      </c>
      <c r="D28" s="60" t="n">
        <v>39.75</v>
      </c>
      <c r="E28" s="60" t="n">
        <v>29.8125</v>
      </c>
      <c r="F28" s="60" t="n">
        <f aca="false">((G28*AD28)-(B28*AE28))*(1/AF28)</f>
        <v>20.0457317073171</v>
      </c>
      <c r="G28" s="54" t="n">
        <f aca="false">((Z28*16*E28)+(B28*W28*16)+(X28*8*C28))/(X28*24)</f>
        <v>31.0631720430108</v>
      </c>
      <c r="H28" s="54" t="n">
        <f aca="false">(F28*AF28+B28*AE28)/AD28</f>
        <v>31.0631720430108</v>
      </c>
      <c r="I28" s="54" t="n">
        <f aca="false">B28*$C$5+F28*$C$6</f>
        <v>31.0801219512195</v>
      </c>
      <c r="K28" s="76" t="n">
        <v>4.34289768171727</v>
      </c>
      <c r="M28" s="71" t="n">
        <v>1.463604441745</v>
      </c>
      <c r="N28" s="71" t="n">
        <v>0.061311690770371</v>
      </c>
      <c r="O28" s="35" t="n">
        <f aca="false">1/((1+N28)^((A28-$B$2)/365))</f>
        <v>4.2769518051475</v>
      </c>
      <c r="P28" s="64"/>
      <c r="Q28" s="54" t="n">
        <f aca="false">M28*B28</f>
        <v>58.1782765593638</v>
      </c>
      <c r="R28" s="54" t="n">
        <f aca="false">C28*M28</f>
        <v>27.542911006548</v>
      </c>
      <c r="S28" s="54" t="n">
        <f aca="false">M28*G28</f>
        <v>45.4641965768397</v>
      </c>
      <c r="T28" s="54" t="n">
        <f aca="false">F28*M28</f>
        <v>29.3390219648579</v>
      </c>
      <c r="V28" s="56" t="n">
        <f aca="false">Z28+AC28</f>
        <v>5</v>
      </c>
      <c r="W28" s="56" t="n">
        <f aca="false">X28-V28</f>
        <v>26</v>
      </c>
      <c r="X28" s="56" t="n">
        <f aca="false">A29-A28</f>
        <v>31</v>
      </c>
      <c r="Y28" s="77" t="n">
        <v>4</v>
      </c>
      <c r="Z28" s="77" t="n">
        <v>4</v>
      </c>
      <c r="AA28" s="56" t="n">
        <f aca="false">Y28+Z28</f>
        <v>8</v>
      </c>
      <c r="AB28" s="56" t="n">
        <f aca="false">X28-AA28</f>
        <v>23</v>
      </c>
      <c r="AC28" s="0" t="n">
        <v>1</v>
      </c>
      <c r="AD28" s="0" t="n">
        <f aca="false">X28*24</f>
        <v>744</v>
      </c>
      <c r="AE28" s="0" t="n">
        <f aca="false">W28*16</f>
        <v>416</v>
      </c>
      <c r="AF28" s="0" t="n">
        <f aca="false">V28*24+W28*8</f>
        <v>328</v>
      </c>
      <c r="AH28" s="0" t="n">
        <f aca="false">X28*24</f>
        <v>744</v>
      </c>
      <c r="AI28" s="0" t="n">
        <f aca="false">AB28*16</f>
        <v>368</v>
      </c>
      <c r="AJ28" s="0" t="n">
        <f aca="false">AB28*13</f>
        <v>299</v>
      </c>
      <c r="AK28" s="0" t="n">
        <f aca="false">AB28*14</f>
        <v>322</v>
      </c>
      <c r="AL28" s="0" t="n">
        <f aca="false">AB28*8</f>
        <v>184</v>
      </c>
      <c r="AM28" s="0" t="n">
        <f aca="false">AA28*24</f>
        <v>192</v>
      </c>
      <c r="AO28" s="68" t="n">
        <f aca="false">AI28/AH28</f>
        <v>0.494623655913979</v>
      </c>
      <c r="AP28" s="68" t="n">
        <f aca="false">AL28/AH28</f>
        <v>0.247311827956989</v>
      </c>
      <c r="AQ28" s="68" t="n">
        <f aca="false">1-(AO28+AP28)</f>
        <v>0.258064516129032</v>
      </c>
      <c r="AR28" s="48" t="n">
        <f aca="false">AQ28+AP28</f>
        <v>0.505376344086022</v>
      </c>
      <c r="AT28" s="68" t="n">
        <f aca="false">AJ28/AH28</f>
        <v>0.401881720430108</v>
      </c>
      <c r="AU28" s="48" t="n">
        <f aca="false">1-AT28</f>
        <v>0.598118279569893</v>
      </c>
      <c r="AV28" s="68" t="n">
        <f aca="false">AJ28/AH28</f>
        <v>0.401881720430108</v>
      </c>
      <c r="AW28" s="48" t="n">
        <f aca="false">1-AV28</f>
        <v>0.598118279569893</v>
      </c>
      <c r="AY28" s="36" t="n">
        <f aca="false">AP28/(AP28+AQ28)</f>
        <v>0.48936170212766</v>
      </c>
      <c r="BA28" s="68" t="n">
        <f aca="false">AK28/AD28</f>
        <v>0.432795698924731</v>
      </c>
      <c r="BB28" s="52" t="n">
        <f aca="false">A28</f>
        <v>37012</v>
      </c>
    </row>
    <row r="29" customFormat="false" ht="12.75" hidden="false" customHeight="false" outlineLevel="0" collapsed="false">
      <c r="A29" s="52" t="n">
        <v>37043</v>
      </c>
      <c r="B29" s="59" t="n">
        <v>40.75</v>
      </c>
      <c r="C29" s="59" t="n">
        <v>18.45</v>
      </c>
      <c r="D29" s="60" t="n">
        <v>40.75</v>
      </c>
      <c r="E29" s="60" t="n">
        <v>30.5625</v>
      </c>
      <c r="F29" s="60" t="n">
        <f aca="false">((G29*AD29)-(B29*AE29))*(1/AF29)</f>
        <v>21</v>
      </c>
      <c r="G29" s="54" t="n">
        <f aca="false">((Z29*16*E29)+(B29*W29*16)+(X29*8*C29))/(X29*24)</f>
        <v>32.4111111111111</v>
      </c>
      <c r="H29" s="54" t="n">
        <f aca="false">(F29*AF29+B29*AE29)/AD29</f>
        <v>32.4111111111111</v>
      </c>
      <c r="I29" s="54" t="n">
        <f aca="false">B29*$C$5+F29*$C$6</f>
        <v>32.06</v>
      </c>
      <c r="K29" s="76" t="n">
        <v>4.29805092374721</v>
      </c>
      <c r="M29" s="71" t="n">
        <v>1.462428873825</v>
      </c>
      <c r="N29" s="71" t="n">
        <v>0.061465180770965</v>
      </c>
      <c r="O29" s="35" t="n">
        <f aca="false">1/((1+N29)^((A29-$B$2)/365))</f>
        <v>4.27039399406883</v>
      </c>
      <c r="P29" s="64"/>
      <c r="Q29" s="54" t="n">
        <f aca="false">M29*B29</f>
        <v>59.5939766083688</v>
      </c>
      <c r="R29" s="54" t="n">
        <f aca="false">C29*M29</f>
        <v>26.9818127220712</v>
      </c>
      <c r="S29" s="54" t="n">
        <f aca="false">M29*G29</f>
        <v>47.3989447216392</v>
      </c>
      <c r="T29" s="54" t="n">
        <f aca="false">F29*M29</f>
        <v>30.711006350325</v>
      </c>
      <c r="V29" s="56" t="n">
        <f aca="false">Z29+AC29</f>
        <v>4</v>
      </c>
      <c r="W29" s="56" t="n">
        <f aca="false">X29-V29</f>
        <v>26</v>
      </c>
      <c r="X29" s="56" t="n">
        <f aca="false">A30-A29</f>
        <v>30</v>
      </c>
      <c r="Y29" s="77" t="n">
        <v>5</v>
      </c>
      <c r="Z29" s="77" t="n">
        <v>4</v>
      </c>
      <c r="AA29" s="56" t="n">
        <f aca="false">Y29+Z29</f>
        <v>9</v>
      </c>
      <c r="AB29" s="56" t="n">
        <f aca="false">X29-AA29</f>
        <v>21</v>
      </c>
      <c r="AD29" s="0" t="n">
        <f aca="false">X29*24</f>
        <v>720</v>
      </c>
      <c r="AE29" s="0" t="n">
        <f aca="false">W29*16</f>
        <v>416</v>
      </c>
      <c r="AF29" s="0" t="n">
        <f aca="false">V29*24+W29*8</f>
        <v>304</v>
      </c>
      <c r="AH29" s="0" t="n">
        <f aca="false">X29*24</f>
        <v>720</v>
      </c>
      <c r="AI29" s="0" t="n">
        <f aca="false">AB29*16</f>
        <v>336</v>
      </c>
      <c r="AJ29" s="0" t="n">
        <f aca="false">AB29*13</f>
        <v>273</v>
      </c>
      <c r="AK29" s="0" t="n">
        <f aca="false">AB29*14</f>
        <v>294</v>
      </c>
      <c r="AL29" s="0" t="n">
        <f aca="false">AB29*8</f>
        <v>168</v>
      </c>
      <c r="AM29" s="0" t="n">
        <f aca="false">AA29*24</f>
        <v>216</v>
      </c>
      <c r="AO29" s="68" t="n">
        <f aca="false">AI29/AH29</f>
        <v>0.466666666666667</v>
      </c>
      <c r="AP29" s="68" t="n">
        <f aca="false">AL29/AH29</f>
        <v>0.233333333333333</v>
      </c>
      <c r="AQ29" s="68" t="n">
        <f aca="false">1-(AO29+AP29)</f>
        <v>0.3</v>
      </c>
      <c r="AR29" s="48" t="n">
        <f aca="false">AQ29+AP29</f>
        <v>0.533333333333333</v>
      </c>
      <c r="AV29" s="68" t="n">
        <f aca="false">AJ29/AH29</f>
        <v>0.379166666666667</v>
      </c>
      <c r="AW29" s="48" t="n">
        <f aca="false">1-AV29</f>
        <v>0.620833333333333</v>
      </c>
      <c r="BA29" s="68" t="n">
        <f aca="false">AK29/AD29</f>
        <v>0.408333333333333</v>
      </c>
      <c r="BB29" s="52" t="n">
        <f aca="false">A29</f>
        <v>37043</v>
      </c>
    </row>
    <row r="30" customFormat="false" ht="12.75" hidden="false" customHeight="false" outlineLevel="0" collapsed="false">
      <c r="A30" s="52" t="n">
        <v>37073</v>
      </c>
      <c r="B30" s="59" t="n">
        <v>67</v>
      </c>
      <c r="C30" s="59" t="n">
        <v>27.7096774193548</v>
      </c>
      <c r="D30" s="60" t="n">
        <v>67</v>
      </c>
      <c r="E30" s="60" t="n">
        <v>50.25</v>
      </c>
      <c r="F30" s="60" t="n">
        <f aca="false">((G30*AD30)-(B30*AE30))*(1/AF30)</f>
        <v>31.6627906976744</v>
      </c>
      <c r="G30" s="54" t="n">
        <f aca="false">((Z30*16*E30)+(B30*W30*16)+(X30*8*C30))/(X30*24)</f>
        <v>50.6612903225807</v>
      </c>
      <c r="H30" s="54" t="n">
        <f aca="false">(F30*AF30+B30*AE30)/AD30</f>
        <v>50.6612903225807</v>
      </c>
      <c r="I30" s="54" t="n">
        <f aca="false">B30*$C$5+F30*$C$6</f>
        <v>51.4516279069767</v>
      </c>
      <c r="K30" s="76" t="n">
        <v>4.28365759216905</v>
      </c>
      <c r="M30" s="71" t="n">
        <v>1.46126904897</v>
      </c>
      <c r="N30" s="71" t="n">
        <v>0.061581536613726</v>
      </c>
      <c r="O30" s="35" t="n">
        <f aca="false">1/((1+N30)^((A30-$B$2)/365))</f>
        <v>4.26082139300952</v>
      </c>
      <c r="P30" s="64"/>
      <c r="Q30" s="54" t="n">
        <f aca="false">M30*B30</f>
        <v>97.90502628099</v>
      </c>
      <c r="R30" s="54" t="n">
        <f aca="false">C30*M30</f>
        <v>40.4912939698461</v>
      </c>
      <c r="S30" s="54" t="n">
        <f aca="false">M30*G30</f>
        <v>74.0297755292705</v>
      </c>
      <c r="T30" s="54" t="n">
        <f aca="false">F30*M30</f>
        <v>46.2678560505269</v>
      </c>
      <c r="V30" s="56" t="n">
        <f aca="false">Z30+AC30</f>
        <v>6</v>
      </c>
      <c r="W30" s="56" t="n">
        <f aca="false">X30-V30</f>
        <v>25</v>
      </c>
      <c r="X30" s="56" t="n">
        <f aca="false">A31-A30</f>
        <v>31</v>
      </c>
      <c r="Y30" s="77" t="n">
        <v>4</v>
      </c>
      <c r="Z30" s="77" t="n">
        <v>5</v>
      </c>
      <c r="AA30" s="56" t="n">
        <f aca="false">Y30+Z30</f>
        <v>9</v>
      </c>
      <c r="AB30" s="56" t="n">
        <f aca="false">X30-AA30</f>
        <v>22</v>
      </c>
      <c r="AC30" s="0" t="n">
        <v>1</v>
      </c>
      <c r="AD30" s="0" t="n">
        <f aca="false">X30*24</f>
        <v>744</v>
      </c>
      <c r="AE30" s="0" t="n">
        <f aca="false">W30*16</f>
        <v>400</v>
      </c>
      <c r="AF30" s="0" t="n">
        <f aca="false">V30*24+W30*8</f>
        <v>344</v>
      </c>
      <c r="AH30" s="0" t="n">
        <f aca="false">X30*24</f>
        <v>744</v>
      </c>
      <c r="AI30" s="0" t="n">
        <f aca="false">AB30*16</f>
        <v>352</v>
      </c>
      <c r="AJ30" s="0" t="n">
        <f aca="false">AB30*13</f>
        <v>286</v>
      </c>
      <c r="AK30" s="0" t="n">
        <f aca="false">AB30*14</f>
        <v>308</v>
      </c>
      <c r="AL30" s="0" t="n">
        <f aca="false">AB30*8</f>
        <v>176</v>
      </c>
      <c r="AM30" s="0" t="n">
        <f aca="false">AA30*24</f>
        <v>216</v>
      </c>
      <c r="AO30" s="68" t="n">
        <f aca="false">AI30/AH30</f>
        <v>0.473118279569893</v>
      </c>
      <c r="AP30" s="68" t="n">
        <f aca="false">AL30/AH30</f>
        <v>0.236559139784946</v>
      </c>
      <c r="AQ30" s="68" t="n">
        <f aca="false">1-(AO30+AP30)</f>
        <v>0.290322580645161</v>
      </c>
      <c r="AR30" s="48" t="n">
        <f aca="false">AQ30+AP30</f>
        <v>0.526881720430108</v>
      </c>
      <c r="BA30" s="68" t="n">
        <f aca="false">AK30/AD30</f>
        <v>0.413978494623656</v>
      </c>
      <c r="BB30" s="52" t="n">
        <f aca="false">A30</f>
        <v>37073</v>
      </c>
    </row>
    <row r="31" customFormat="false" ht="12.75" hidden="false" customHeight="false" outlineLevel="0" collapsed="false">
      <c r="A31" s="52" t="n">
        <v>37104</v>
      </c>
      <c r="B31" s="59" t="n">
        <v>80.5</v>
      </c>
      <c r="C31" s="59" t="n">
        <v>36</v>
      </c>
      <c r="D31" s="60" t="n">
        <v>80.5</v>
      </c>
      <c r="E31" s="60" t="n">
        <v>60.375</v>
      </c>
      <c r="F31" s="60" t="n">
        <f aca="false">((G31*AD31)-(B31*AE31))*(1/AF31)</f>
        <v>41</v>
      </c>
      <c r="G31" s="54" t="n">
        <f aca="false">((Z31*16*E31)+(B31*W31*16)+(X31*8*C31))/(X31*24)</f>
        <v>63.9354838709677</v>
      </c>
      <c r="H31" s="54" t="n">
        <f aca="false">(F31*AF31+B31*AE31)/AD31</f>
        <v>63.9354838709677</v>
      </c>
      <c r="I31" s="54" t="n">
        <f aca="false">B31*$C$5+F31*$C$6</f>
        <v>63.12</v>
      </c>
      <c r="K31" s="76" t="n">
        <v>4.27192108277725</v>
      </c>
      <c r="M31" s="71" t="n">
        <v>1.460034045601</v>
      </c>
      <c r="N31" s="71" t="n">
        <v>0.061651887531838</v>
      </c>
      <c r="O31" s="35" t="n">
        <f aca="false">1/((1+N31)^((A31-$B$2)/365))</f>
        <v>4.24604579123137</v>
      </c>
      <c r="P31" s="64"/>
      <c r="Q31" s="54" t="n">
        <f aca="false">M31*B31</f>
        <v>117.532740670881</v>
      </c>
      <c r="R31" s="54" t="n">
        <f aca="false">C31*M31</f>
        <v>52.561225641636</v>
      </c>
      <c r="S31" s="54" t="n">
        <f aca="false">M31*G31</f>
        <v>93.3479831735865</v>
      </c>
      <c r="T31" s="54" t="n">
        <f aca="false">F31*M31</f>
        <v>59.861395869641</v>
      </c>
      <c r="V31" s="56" t="n">
        <f aca="false">Z31+AC31</f>
        <v>4</v>
      </c>
      <c r="W31" s="56" t="n">
        <f aca="false">X31-V31</f>
        <v>27</v>
      </c>
      <c r="X31" s="56" t="n">
        <f aca="false">A32-A31</f>
        <v>31</v>
      </c>
      <c r="Y31" s="77" t="n">
        <v>4</v>
      </c>
      <c r="Z31" s="77" t="n">
        <v>4</v>
      </c>
      <c r="AA31" s="56" t="n">
        <f aca="false">Y31+Z31</f>
        <v>8</v>
      </c>
      <c r="AB31" s="56" t="n">
        <f aca="false">X31-AA31</f>
        <v>23</v>
      </c>
      <c r="AD31" s="0" t="n">
        <f aca="false">X31*24</f>
        <v>744</v>
      </c>
      <c r="AE31" s="0" t="n">
        <f aca="false">W31*16</f>
        <v>432</v>
      </c>
      <c r="AF31" s="0" t="n">
        <f aca="false">V31*24+W31*8</f>
        <v>312</v>
      </c>
      <c r="AH31" s="0" t="n">
        <f aca="false">X31*24</f>
        <v>744</v>
      </c>
      <c r="AI31" s="0" t="n">
        <f aca="false">AB31*16</f>
        <v>368</v>
      </c>
      <c r="AJ31" s="0" t="n">
        <f aca="false">AB31*13</f>
        <v>299</v>
      </c>
      <c r="AK31" s="0" t="n">
        <f aca="false">AB31*14</f>
        <v>322</v>
      </c>
      <c r="AL31" s="0" t="n">
        <f aca="false">AB31*8</f>
        <v>184</v>
      </c>
      <c r="AM31" s="0" t="n">
        <f aca="false">AA31*24</f>
        <v>192</v>
      </c>
      <c r="AO31" s="68" t="n">
        <f aca="false">AI31/AH31</f>
        <v>0.494623655913979</v>
      </c>
      <c r="AP31" s="68" t="n">
        <f aca="false">AL31/AH31</f>
        <v>0.247311827956989</v>
      </c>
      <c r="AQ31" s="68" t="n">
        <f aca="false">1-(AO31+AP31)</f>
        <v>0.258064516129032</v>
      </c>
      <c r="AR31" s="48" t="n">
        <f aca="false">AQ31+AP31</f>
        <v>0.505376344086022</v>
      </c>
      <c r="BA31" s="68" t="n">
        <f aca="false">AK31/AD31</f>
        <v>0.432795698924731</v>
      </c>
      <c r="BB31" s="52" t="n">
        <f aca="false">A31</f>
        <v>37104</v>
      </c>
    </row>
    <row r="32" customFormat="false" ht="12.75" hidden="false" customHeight="false" outlineLevel="0" collapsed="false">
      <c r="A32" s="52" t="n">
        <v>37135</v>
      </c>
      <c r="B32" s="59" t="n">
        <v>70</v>
      </c>
      <c r="C32" s="59" t="n">
        <v>36.75</v>
      </c>
      <c r="D32" s="60" t="n">
        <v>70</v>
      </c>
      <c r="E32" s="60" t="n">
        <v>52.5</v>
      </c>
      <c r="F32" s="60" t="n">
        <f aca="false">((G32*AD32)-(B32*AE32))*(1/AF32)</f>
        <v>38.75</v>
      </c>
      <c r="G32" s="54" t="n">
        <f aca="false">((Z32*16*E32)+(B32*W32*16)+(X32*8*C32))/(X32*24)</f>
        <v>55.4166666666667</v>
      </c>
      <c r="H32" s="54" t="n">
        <f aca="false">(F32*AF32+B32*AE32)/AD32</f>
        <v>55.4166666666667</v>
      </c>
      <c r="I32" s="54" t="n">
        <f aca="false">B32*$C$5+F32*$C$6</f>
        <v>56.25</v>
      </c>
      <c r="K32" s="76" t="n">
        <v>4.2409711843115</v>
      </c>
      <c r="M32" s="71" t="n">
        <v>1.458793638034</v>
      </c>
      <c r="N32" s="71" t="n">
        <v>0.061722238451592</v>
      </c>
      <c r="O32" s="35" t="n">
        <f aca="false">1/((1+N32)^((A32-$B$2)/365))</f>
        <v>4.23127335136074</v>
      </c>
      <c r="P32" s="64"/>
      <c r="Q32" s="54" t="n">
        <f aca="false">M32*B32</f>
        <v>102.11555466238</v>
      </c>
      <c r="R32" s="54" t="n">
        <f aca="false">C32*M32</f>
        <v>53.6106661977495</v>
      </c>
      <c r="S32" s="54" t="n">
        <f aca="false">M32*G32</f>
        <v>80.8414807743842</v>
      </c>
      <c r="T32" s="54" t="n">
        <f aca="false">F32*M32</f>
        <v>56.5282534738175</v>
      </c>
      <c r="V32" s="56" t="n">
        <f aca="false">Z32+AC32</f>
        <v>6</v>
      </c>
      <c r="W32" s="56" t="n">
        <f aca="false">X32-V32</f>
        <v>24</v>
      </c>
      <c r="X32" s="56" t="n">
        <f aca="false">A33-A32</f>
        <v>30</v>
      </c>
      <c r="Y32" s="77" t="n">
        <v>5</v>
      </c>
      <c r="Z32" s="77" t="n">
        <v>5</v>
      </c>
      <c r="AA32" s="56" t="n">
        <f aca="false">Y32+Z32</f>
        <v>10</v>
      </c>
      <c r="AB32" s="56" t="n">
        <f aca="false">X32-AA32</f>
        <v>20</v>
      </c>
      <c r="AC32" s="0" t="n">
        <v>1</v>
      </c>
      <c r="AD32" s="0" t="n">
        <f aca="false">X32*24</f>
        <v>720</v>
      </c>
      <c r="AE32" s="0" t="n">
        <f aca="false">W32*16</f>
        <v>384</v>
      </c>
      <c r="AF32" s="0" t="n">
        <f aca="false">V32*24+W32*8</f>
        <v>336</v>
      </c>
      <c r="AH32" s="0" t="n">
        <f aca="false">X32*24</f>
        <v>720</v>
      </c>
      <c r="AI32" s="0" t="n">
        <f aca="false">AB32*16</f>
        <v>320</v>
      </c>
      <c r="AJ32" s="0" t="n">
        <f aca="false">AB32*13</f>
        <v>260</v>
      </c>
      <c r="AK32" s="0" t="n">
        <f aca="false">AB32*14</f>
        <v>280</v>
      </c>
      <c r="AL32" s="0" t="n">
        <f aca="false">AB32*8</f>
        <v>160</v>
      </c>
      <c r="AM32" s="0" t="n">
        <f aca="false">AA32*24</f>
        <v>240</v>
      </c>
      <c r="AO32" s="68" t="n">
        <f aca="false">AI32/AH32</f>
        <v>0.444444444444444</v>
      </c>
      <c r="AP32" s="68" t="n">
        <f aca="false">AL32/AH32</f>
        <v>0.222222222222222</v>
      </c>
      <c r="AQ32" s="68" t="n">
        <f aca="false">1-(AO32+AP32)</f>
        <v>0.333333333333333</v>
      </c>
      <c r="AR32" s="48" t="n">
        <f aca="false">AQ32+AP32</f>
        <v>0.555555555555556</v>
      </c>
      <c r="BA32" s="68" t="n">
        <f aca="false">AK32/AD32</f>
        <v>0.388888888888889</v>
      </c>
      <c r="BB32" s="52" t="n">
        <f aca="false">A32</f>
        <v>37135</v>
      </c>
    </row>
    <row r="33" customFormat="false" ht="12.75" hidden="false" customHeight="false" outlineLevel="0" collapsed="false">
      <c r="A33" s="52" t="n">
        <v>37165</v>
      </c>
      <c r="B33" s="59" t="n">
        <v>55.25</v>
      </c>
      <c r="C33" s="59" t="n">
        <v>37.1129032258065</v>
      </c>
      <c r="D33" s="60" t="n">
        <v>55.25</v>
      </c>
      <c r="E33" s="60" t="n">
        <v>41.4375</v>
      </c>
      <c r="F33" s="60" t="n">
        <f aca="false">((G33*AD33)-(B33*AE33))*(1/AF33)</f>
        <v>38</v>
      </c>
      <c r="G33" s="54" t="n">
        <f aca="false">((Z33*16*E33)+(B33*W33*16)+(X33*8*C33))/(X33*24)</f>
        <v>48.0161290322581</v>
      </c>
      <c r="H33" s="54" t="n">
        <f aca="false">(F33*AF33+B33*AE33)/AD33</f>
        <v>48.0161290322581</v>
      </c>
      <c r="I33" s="54" t="n">
        <f aca="false">B33*$C$5+F33*$C$6</f>
        <v>47.66</v>
      </c>
      <c r="K33" s="76" t="n">
        <v>4.25130443717768</v>
      </c>
      <c r="M33" s="71" t="n">
        <v>1.457612596503</v>
      </c>
      <c r="N33" s="71" t="n">
        <v>0.061790319988403</v>
      </c>
      <c r="O33" s="35" t="n">
        <f aca="false">1/((1+N33)^((A33-$B$2)/365))</f>
        <v>4.21698076214798</v>
      </c>
      <c r="P33" s="64"/>
      <c r="Q33" s="54" t="n">
        <f aca="false">M33*B33</f>
        <v>80.5330959567908</v>
      </c>
      <c r="R33" s="54" t="n">
        <f aca="false">C33*M33</f>
        <v>54.0962352347323</v>
      </c>
      <c r="S33" s="54" t="n">
        <f aca="false">M33*G33</f>
        <v>69.9889145127328</v>
      </c>
      <c r="T33" s="54" t="n">
        <f aca="false">F33*M33</f>
        <v>55.389278667114</v>
      </c>
      <c r="V33" s="56" t="n">
        <f aca="false">Z33+AC33</f>
        <v>4</v>
      </c>
      <c r="W33" s="56" t="n">
        <f aca="false">X33-V33</f>
        <v>27</v>
      </c>
      <c r="X33" s="56" t="n">
        <f aca="false">A34-A33</f>
        <v>31</v>
      </c>
      <c r="Y33" s="77" t="n">
        <v>4</v>
      </c>
      <c r="Z33" s="77" t="n">
        <v>4</v>
      </c>
      <c r="AA33" s="56" t="n">
        <f aca="false">Y33+Z33</f>
        <v>8</v>
      </c>
      <c r="AB33" s="56" t="n">
        <f aca="false">X33-AA33</f>
        <v>23</v>
      </c>
      <c r="AD33" s="0" t="n">
        <f aca="false">X33*24</f>
        <v>744</v>
      </c>
      <c r="AE33" s="0" t="n">
        <f aca="false">W33*16</f>
        <v>432</v>
      </c>
      <c r="AF33" s="0" t="n">
        <f aca="false">V33*24+W33*8</f>
        <v>312</v>
      </c>
      <c r="AH33" s="0" t="n">
        <f aca="false">X33*24</f>
        <v>744</v>
      </c>
      <c r="AI33" s="0" t="n">
        <f aca="false">AB33*16</f>
        <v>368</v>
      </c>
      <c r="AJ33" s="0" t="n">
        <f aca="false">AB33*13</f>
        <v>299</v>
      </c>
      <c r="AK33" s="0" t="n">
        <f aca="false">AB33*14</f>
        <v>322</v>
      </c>
      <c r="AL33" s="0" t="n">
        <f aca="false">AB33*8</f>
        <v>184</v>
      </c>
      <c r="AM33" s="0" t="n">
        <f aca="false">AA33*24</f>
        <v>192</v>
      </c>
      <c r="AO33" s="68" t="n">
        <f aca="false">AI33/AH33</f>
        <v>0.494623655913979</v>
      </c>
      <c r="AP33" s="68" t="n">
        <f aca="false">AL33/AH33</f>
        <v>0.247311827956989</v>
      </c>
      <c r="AQ33" s="68" t="n">
        <f aca="false">1-(AO33+AP33)</f>
        <v>0.258064516129032</v>
      </c>
      <c r="AR33" s="48" t="n">
        <f aca="false">AQ33+AP33</f>
        <v>0.505376344086022</v>
      </c>
      <c r="BA33" s="68" t="n">
        <f aca="false">AK33/AD33</f>
        <v>0.432795698924731</v>
      </c>
      <c r="BB33" s="52" t="n">
        <f aca="false">A33</f>
        <v>37165</v>
      </c>
    </row>
    <row r="34" customFormat="false" ht="12.75" hidden="false" customHeight="false" outlineLevel="0" collapsed="false">
      <c r="A34" s="52" t="n">
        <v>37196</v>
      </c>
      <c r="B34" s="59" t="n">
        <v>51.25</v>
      </c>
      <c r="C34" s="59" t="n">
        <v>37.1875</v>
      </c>
      <c r="D34" s="60" t="n">
        <v>51.25</v>
      </c>
      <c r="E34" s="60" t="n">
        <v>38.4375</v>
      </c>
      <c r="F34" s="60" t="n">
        <f aca="false">((G34*AD34)-(B34*AE34))*(1/AF34)</f>
        <v>35.578125</v>
      </c>
      <c r="G34" s="54" t="n">
        <f aca="false">((Z34*16*E34)+(B34*W34*16)+(X34*8*C34))/(X34*24)</f>
        <v>44.2847222222222</v>
      </c>
      <c r="H34" s="54" t="n">
        <f aca="false">(F34*AF34+B34*AE34)/AD34</f>
        <v>44.2847222222222</v>
      </c>
      <c r="I34" s="54" t="n">
        <f aca="false">B34*$C$5+F34*$C$6</f>
        <v>44.354375</v>
      </c>
      <c r="K34" s="76" t="n">
        <v>4.39175035051968</v>
      </c>
      <c r="M34" s="71" t="n">
        <v>1.456432852446</v>
      </c>
      <c r="N34" s="71" t="n">
        <v>0.061860670911391</v>
      </c>
      <c r="O34" s="35" t="n">
        <f aca="false">1/((1+N34)^((A34-$B$2)/365))</f>
        <v>4.20221550315026</v>
      </c>
      <c r="P34" s="64"/>
      <c r="Q34" s="54" t="n">
        <f aca="false">M34*B34</f>
        <v>74.6421836878575</v>
      </c>
      <c r="R34" s="54" t="n">
        <f aca="false">C34*M34</f>
        <v>54.1610967003356</v>
      </c>
      <c r="S34" s="54" t="n">
        <f aca="false">M34*G34</f>
        <v>64.4977243058899</v>
      </c>
      <c r="T34" s="54" t="n">
        <f aca="false">F34*M34</f>
        <v>51.8171500784304</v>
      </c>
      <c r="V34" s="56" t="n">
        <f aca="false">Z34+AC34</f>
        <v>5</v>
      </c>
      <c r="W34" s="56" t="n">
        <f aca="false">X34-V34</f>
        <v>25</v>
      </c>
      <c r="X34" s="56" t="n">
        <f aca="false">A35-A34</f>
        <v>30</v>
      </c>
      <c r="Y34" s="77" t="n">
        <v>4</v>
      </c>
      <c r="Z34" s="77" t="n">
        <v>4</v>
      </c>
      <c r="AA34" s="56" t="n">
        <f aca="false">Y34+Z34</f>
        <v>8</v>
      </c>
      <c r="AB34" s="56" t="n">
        <f aca="false">X34-AA34</f>
        <v>22</v>
      </c>
      <c r="AC34" s="0" t="n">
        <v>1</v>
      </c>
      <c r="AD34" s="0" t="n">
        <f aca="false">X34*24</f>
        <v>720</v>
      </c>
      <c r="AE34" s="0" t="n">
        <f aca="false">W34*16</f>
        <v>400</v>
      </c>
      <c r="AF34" s="0" t="n">
        <f aca="false">V34*24+W34*8</f>
        <v>320</v>
      </c>
      <c r="AH34" s="0" t="n">
        <f aca="false">X34*24</f>
        <v>720</v>
      </c>
      <c r="AI34" s="0" t="n">
        <f aca="false">AB34*16</f>
        <v>352</v>
      </c>
      <c r="AJ34" s="0" t="n">
        <f aca="false">AB34*13</f>
        <v>286</v>
      </c>
      <c r="AK34" s="0" t="n">
        <f aca="false">AB34*14</f>
        <v>308</v>
      </c>
      <c r="AL34" s="0" t="n">
        <f aca="false">AB34*8</f>
        <v>176</v>
      </c>
      <c r="AM34" s="0" t="n">
        <f aca="false">AA34*24</f>
        <v>192</v>
      </c>
      <c r="AO34" s="68" t="n">
        <f aca="false">AI34/AH34</f>
        <v>0.488888888888889</v>
      </c>
      <c r="AP34" s="68" t="n">
        <f aca="false">AL34/AH34</f>
        <v>0.244444444444444</v>
      </c>
      <c r="AQ34" s="68" t="n">
        <f aca="false">1-(AO34+AP34)</f>
        <v>0.266666666666667</v>
      </c>
      <c r="AR34" s="48" t="n">
        <f aca="false">AQ34+AP34</f>
        <v>0.511111111111111</v>
      </c>
      <c r="BA34" s="68" t="n">
        <f aca="false">AK34/AD34</f>
        <v>0.427777777777778</v>
      </c>
      <c r="BB34" s="52" t="n">
        <f aca="false">A34</f>
        <v>37196</v>
      </c>
    </row>
    <row r="35" customFormat="false" ht="12.75" hidden="false" customHeight="false" outlineLevel="0" collapsed="false">
      <c r="A35" s="52" t="n">
        <v>37226</v>
      </c>
      <c r="B35" s="59" t="n">
        <v>51.25</v>
      </c>
      <c r="C35" s="59" t="n">
        <v>34.3629032258065</v>
      </c>
      <c r="D35" s="60" t="n">
        <v>51.25</v>
      </c>
      <c r="E35" s="60" t="n">
        <v>38.4375</v>
      </c>
      <c r="F35" s="60" t="n">
        <f aca="false">((G35*AD35)-(B35*AE35))*(1/AF35)</f>
        <v>33.7122093023256</v>
      </c>
      <c r="G35" s="54" t="n">
        <f aca="false">((Z35*16*E35)+(B35*W35*16)+(X35*8*C35))/(X35*24)</f>
        <v>43.1411290322581</v>
      </c>
      <c r="H35" s="54" t="n">
        <f aca="false">(F35*AF35+B35*AE35)/AD35</f>
        <v>43.1411290322581</v>
      </c>
      <c r="I35" s="54" t="n">
        <f aca="false">B35*$C$5+F35*$C$6</f>
        <v>43.5333720930233</v>
      </c>
      <c r="K35" s="76" t="n">
        <v>4.51150334529067</v>
      </c>
      <c r="M35" s="71" t="n">
        <v>1.455294099823</v>
      </c>
      <c r="N35" s="71" t="n">
        <v>0.06192875245133</v>
      </c>
      <c r="O35" s="35" t="n">
        <f aca="false">1/((1+N35)^((A35-$B$2)/365))</f>
        <v>4.18793047570622</v>
      </c>
      <c r="P35" s="64"/>
      <c r="Q35" s="54" t="n">
        <f aca="false">M35*B35</f>
        <v>74.5838226159288</v>
      </c>
      <c r="R35" s="54" t="n">
        <f aca="false">C35*M35</f>
        <v>50.0081303173049</v>
      </c>
      <c r="S35" s="54" t="n">
        <f aca="false">M35*G35</f>
        <v>62.7830305403479</v>
      </c>
      <c r="T35" s="54" t="n">
        <f aca="false">F35*M35</f>
        <v>49.0611792896725</v>
      </c>
      <c r="V35" s="56" t="n">
        <f aca="false">Z35+AC35</f>
        <v>6</v>
      </c>
      <c r="W35" s="56" t="n">
        <f aca="false">X35-V35</f>
        <v>25</v>
      </c>
      <c r="X35" s="56" t="n">
        <f aca="false">A36-A35</f>
        <v>31</v>
      </c>
      <c r="Y35" s="77" t="n">
        <v>5</v>
      </c>
      <c r="Z35" s="77" t="n">
        <v>5</v>
      </c>
      <c r="AA35" s="56" t="n">
        <f aca="false">Y35+Z35</f>
        <v>10</v>
      </c>
      <c r="AB35" s="56" t="n">
        <f aca="false">X35-AA35</f>
        <v>21</v>
      </c>
      <c r="AC35" s="0" t="n">
        <v>1</v>
      </c>
      <c r="AD35" s="0" t="n">
        <f aca="false">X35*24</f>
        <v>744</v>
      </c>
      <c r="AE35" s="0" t="n">
        <f aca="false">W35*16</f>
        <v>400</v>
      </c>
      <c r="AF35" s="0" t="n">
        <f aca="false">V35*24+W35*8</f>
        <v>344</v>
      </c>
      <c r="AH35" s="0" t="n">
        <f aca="false">X35*24</f>
        <v>744</v>
      </c>
      <c r="AI35" s="0" t="n">
        <f aca="false">AB35*16</f>
        <v>336</v>
      </c>
      <c r="AJ35" s="0" t="n">
        <f aca="false">AB35*13</f>
        <v>273</v>
      </c>
      <c r="AK35" s="0" t="n">
        <f aca="false">AB35*14</f>
        <v>294</v>
      </c>
      <c r="AL35" s="0" t="n">
        <f aca="false">AB35*8</f>
        <v>168</v>
      </c>
      <c r="AM35" s="0" t="n">
        <f aca="false">AA35*24</f>
        <v>240</v>
      </c>
      <c r="AO35" s="68" t="n">
        <f aca="false">AI35/AH35</f>
        <v>0.451612903225806</v>
      </c>
      <c r="AP35" s="68" t="n">
        <f aca="false">AL35/AH35</f>
        <v>0.225806451612903</v>
      </c>
      <c r="AQ35" s="68" t="n">
        <f aca="false">1-(AO35+AP35)</f>
        <v>0.32258064516129</v>
      </c>
      <c r="AR35" s="48" t="n">
        <f aca="false">AQ35+AP35</f>
        <v>0.548387096774194</v>
      </c>
      <c r="BA35" s="68" t="n">
        <f aca="false">AK35/AD35</f>
        <v>0.395161290322581</v>
      </c>
      <c r="BB35" s="52" t="n">
        <f aca="false">A35</f>
        <v>37226</v>
      </c>
    </row>
    <row r="36" customFormat="false" ht="12.75" hidden="false" customHeight="false" outlineLevel="0" collapsed="false">
      <c r="A36" s="52" t="n">
        <v>37257</v>
      </c>
      <c r="B36" s="59" t="n">
        <v>38</v>
      </c>
      <c r="C36" s="59" t="n">
        <v>32.1370967741935</v>
      </c>
      <c r="D36" s="60" t="n">
        <v>38</v>
      </c>
      <c r="E36" s="60" t="n">
        <v>28.5</v>
      </c>
      <c r="F36" s="60" t="n">
        <f aca="false">((G36*AD36)-(B36*AE36))*(1/AF36)</f>
        <v>29.859756097561</v>
      </c>
      <c r="G36" s="54" t="n">
        <f aca="false">((Z36*16*E36)+(B36*W36*16)+(X36*8*C36))/(X36*24)</f>
        <v>34.4112903225807</v>
      </c>
      <c r="H36" s="54" t="n">
        <f aca="false">(F36*AF36+B36*AE36)/AD36</f>
        <v>34.4112903225807</v>
      </c>
      <c r="I36" s="54" t="n">
        <f aca="false">B36*$C$5+F36*$C$6</f>
        <v>34.4182926829268</v>
      </c>
      <c r="K36" s="76" t="n">
        <v>4.51313158774131</v>
      </c>
      <c r="M36" s="71" t="n">
        <v>1.454125857222</v>
      </c>
      <c r="N36" s="71" t="n">
        <v>0.06199910337755</v>
      </c>
      <c r="O36" s="35" t="n">
        <f aca="false">1/((1+N36)^((A36-$B$2)/365))</f>
        <v>4.17317366094241</v>
      </c>
      <c r="P36" s="64"/>
      <c r="Q36" s="54" t="n">
        <f aca="false">M36*B36</f>
        <v>55.256782574436</v>
      </c>
      <c r="R36" s="54" t="n">
        <f aca="false">C36*M36</f>
        <v>46.7313833954006</v>
      </c>
      <c r="S36" s="54" t="n">
        <f aca="false">M36*G36</f>
        <v>50.0383470384377</v>
      </c>
      <c r="T36" s="54" t="n">
        <f aca="false">F36*M36</f>
        <v>43.4198434318057</v>
      </c>
      <c r="V36" s="56" t="n">
        <f aca="false">Z36+AC36</f>
        <v>5</v>
      </c>
      <c r="W36" s="56" t="n">
        <f aca="false">X36-V36</f>
        <v>26</v>
      </c>
      <c r="X36" s="56" t="n">
        <f aca="false">A37-A36</f>
        <v>31</v>
      </c>
      <c r="Y36" s="78" t="n">
        <v>4</v>
      </c>
      <c r="Z36" s="78" t="n">
        <v>4</v>
      </c>
      <c r="AA36" s="56" t="n">
        <f aca="false">Y36+Z36</f>
        <v>8</v>
      </c>
      <c r="AB36" s="56" t="n">
        <f aca="false">X36-AA36</f>
        <v>23</v>
      </c>
      <c r="AC36" s="0" t="n">
        <v>1</v>
      </c>
      <c r="AD36" s="0" t="n">
        <f aca="false">X36*24</f>
        <v>744</v>
      </c>
      <c r="AE36" s="0" t="n">
        <f aca="false">W36*16</f>
        <v>416</v>
      </c>
      <c r="AF36" s="0" t="n">
        <f aca="false">V36*24+W36*8</f>
        <v>328</v>
      </c>
      <c r="AH36" s="0" t="n">
        <f aca="false">X36*24</f>
        <v>744</v>
      </c>
      <c r="AI36" s="0" t="n">
        <f aca="false">AB36*16</f>
        <v>368</v>
      </c>
      <c r="AJ36" s="0" t="n">
        <f aca="false">AB36*13</f>
        <v>299</v>
      </c>
      <c r="AK36" s="0" t="n">
        <f aca="false">AB36*14</f>
        <v>322</v>
      </c>
      <c r="AL36" s="0" t="n">
        <f aca="false">AB36*8</f>
        <v>184</v>
      </c>
      <c r="AM36" s="0" t="n">
        <f aca="false">AA36*24</f>
        <v>192</v>
      </c>
      <c r="AO36" s="68" t="n">
        <f aca="false">AI36/AH36</f>
        <v>0.494623655913979</v>
      </c>
      <c r="AP36" s="68" t="n">
        <f aca="false">AL36/AH36</f>
        <v>0.247311827956989</v>
      </c>
      <c r="AQ36" s="68" t="n">
        <f aca="false">1-(AO36+AP36)</f>
        <v>0.258064516129032</v>
      </c>
      <c r="AR36" s="48" t="n">
        <f aca="false">AQ36+AP36</f>
        <v>0.505376344086022</v>
      </c>
      <c r="BA36" s="68" t="n">
        <f aca="false">AK36/AD36</f>
        <v>0.432795698924731</v>
      </c>
      <c r="BB36" s="52" t="n">
        <f aca="false">A36</f>
        <v>37257</v>
      </c>
    </row>
    <row r="37" customFormat="false" ht="12.75" hidden="false" customHeight="false" outlineLevel="0" collapsed="false">
      <c r="A37" s="52" t="n">
        <v>37288</v>
      </c>
      <c r="B37" s="59" t="n">
        <v>36</v>
      </c>
      <c r="C37" s="59" t="n">
        <v>30.2142857142857</v>
      </c>
      <c r="D37" s="60" t="n">
        <v>36</v>
      </c>
      <c r="E37" s="60" t="n">
        <v>27</v>
      </c>
      <c r="F37" s="60" t="n">
        <f aca="false">((G37*AD37)-(B37*AE37))*(1/AF37)</f>
        <v>29.5</v>
      </c>
      <c r="G37" s="54" t="n">
        <f aca="false">((Z37*16*E37)+(B37*W37*16)+(X37*8*C37))/(X37*24)</f>
        <v>33.2142857142857</v>
      </c>
      <c r="H37" s="54" t="n">
        <f aca="false">(F37*AF37+B37*AE37)/AD37</f>
        <v>33.2142857142857</v>
      </c>
      <c r="I37" s="54" t="n">
        <f aca="false">B37*$C$5+F37*$C$6</f>
        <v>33.14</v>
      </c>
      <c r="K37" s="76" t="n">
        <v>4.31768871215996</v>
      </c>
      <c r="M37" s="71" t="n">
        <v>1.452969213882</v>
      </c>
      <c r="N37" s="71" t="n">
        <v>0.062069454305413</v>
      </c>
      <c r="O37" s="35" t="n">
        <f aca="false">1/((1+N37)^((A37-$B$2)/365))</f>
        <v>4.15842161840211</v>
      </c>
      <c r="P37" s="64"/>
      <c r="Q37" s="54" t="n">
        <f aca="false">M37*B37</f>
        <v>52.306891699752</v>
      </c>
      <c r="R37" s="54" t="n">
        <f aca="false">C37*M37</f>
        <v>43.9004269622919</v>
      </c>
      <c r="S37" s="54" t="n">
        <f aca="false">M37*G37</f>
        <v>48.2593346039379</v>
      </c>
      <c r="T37" s="54" t="n">
        <f aca="false">F37*M37</f>
        <v>42.862591809519</v>
      </c>
      <c r="V37" s="56" t="n">
        <f aca="false">Z37+AC37</f>
        <v>4</v>
      </c>
      <c r="W37" s="56" t="n">
        <f aca="false">X37-V37</f>
        <v>24</v>
      </c>
      <c r="X37" s="56" t="n">
        <f aca="false">A38-A37</f>
        <v>28</v>
      </c>
      <c r="Y37" s="77" t="n">
        <v>4</v>
      </c>
      <c r="Z37" s="77" t="n">
        <v>4</v>
      </c>
      <c r="AA37" s="56" t="n">
        <f aca="false">Y37+Z37</f>
        <v>8</v>
      </c>
      <c r="AB37" s="56" t="n">
        <f aca="false">X37-AA37</f>
        <v>20</v>
      </c>
      <c r="AD37" s="0" t="n">
        <f aca="false">X37*24</f>
        <v>672</v>
      </c>
      <c r="AE37" s="0" t="n">
        <f aca="false">W37*16</f>
        <v>384</v>
      </c>
      <c r="AF37" s="0" t="n">
        <f aca="false">V37*24+W37*8</f>
        <v>288</v>
      </c>
      <c r="AH37" s="0" t="n">
        <f aca="false">X37*24</f>
        <v>672</v>
      </c>
      <c r="AI37" s="0" t="n">
        <f aca="false">AB37*16</f>
        <v>320</v>
      </c>
      <c r="AJ37" s="0" t="n">
        <f aca="false">AB37*13</f>
        <v>260</v>
      </c>
      <c r="AK37" s="0" t="n">
        <f aca="false">AB37*14</f>
        <v>280</v>
      </c>
      <c r="AL37" s="0" t="n">
        <f aca="false">AB37*8</f>
        <v>160</v>
      </c>
      <c r="AM37" s="0" t="n">
        <f aca="false">AA37*24</f>
        <v>192</v>
      </c>
      <c r="AO37" s="68" t="n">
        <f aca="false">AI37/AH37</f>
        <v>0.476190476190476</v>
      </c>
      <c r="AP37" s="68" t="n">
        <f aca="false">AL37/AH37</f>
        <v>0.238095238095238</v>
      </c>
      <c r="AQ37" s="68" t="n">
        <f aca="false">1-(AO37+AP37)</f>
        <v>0.285714285714286</v>
      </c>
      <c r="AR37" s="48" t="n">
        <f aca="false">AQ37+AP37</f>
        <v>0.523809523809524</v>
      </c>
      <c r="BA37" s="68" t="n">
        <f aca="false">AK37/AD37</f>
        <v>0.416666666666667</v>
      </c>
      <c r="BB37" s="52" t="n">
        <f aca="false">A37</f>
        <v>37288</v>
      </c>
    </row>
    <row r="38" customFormat="false" ht="12.75" hidden="false" customHeight="false" outlineLevel="0" collapsed="false">
      <c r="A38" s="52" t="n">
        <v>37316</v>
      </c>
      <c r="B38" s="59" t="n">
        <v>34</v>
      </c>
      <c r="C38" s="59" t="n">
        <v>28.1451612903226</v>
      </c>
      <c r="D38" s="60" t="n">
        <v>34</v>
      </c>
      <c r="E38" s="60" t="n">
        <v>25.5</v>
      </c>
      <c r="F38" s="60" t="n">
        <f aca="false">((G38*AD38)-(B38*AE38))*(1/AF38)</f>
        <v>27.5</v>
      </c>
      <c r="G38" s="54" t="n">
        <f aca="false">((Z38*16*E38)+(B38*W38*16)+(X38*8*C38))/(X38*24)</f>
        <v>31.1344086021505</v>
      </c>
      <c r="H38" s="54" t="n">
        <f aca="false">(F38*AF38+B38*AE38)/AD38</f>
        <v>31.1344086021505</v>
      </c>
      <c r="I38" s="54" t="n">
        <f aca="false">B38*$C$5+F38*$C$6</f>
        <v>31.14</v>
      </c>
      <c r="K38" s="76" t="n">
        <v>4.09966128589584</v>
      </c>
      <c r="M38" s="71" t="n">
        <v>1.451928340034</v>
      </c>
      <c r="N38" s="71" t="n">
        <v>0.06213299708038</v>
      </c>
      <c r="O38" s="35" t="n">
        <f aca="false">1/((1+N38)^((A38-$B$2)/365))</f>
        <v>4.14510156281612</v>
      </c>
      <c r="P38" s="64"/>
      <c r="Q38" s="54" t="n">
        <f aca="false">M38*B38</f>
        <v>49.365563561156</v>
      </c>
      <c r="R38" s="54" t="n">
        <f aca="false">C38*M38</f>
        <v>40.8647573122473</v>
      </c>
      <c r="S38" s="54" t="n">
        <f aca="false">M38*G38</f>
        <v>45.2049301996607</v>
      </c>
      <c r="T38" s="54" t="n">
        <f aca="false">F38*M38</f>
        <v>39.928029350935</v>
      </c>
      <c r="V38" s="56" t="n">
        <f aca="false">Z38+AC38</f>
        <v>5</v>
      </c>
      <c r="W38" s="56" t="n">
        <f aca="false">X38-V38</f>
        <v>26</v>
      </c>
      <c r="X38" s="56" t="n">
        <f aca="false">A39-A38</f>
        <v>31</v>
      </c>
      <c r="Y38" s="77" t="n">
        <v>5</v>
      </c>
      <c r="Z38" s="77" t="n">
        <v>5</v>
      </c>
      <c r="AA38" s="56" t="n">
        <f aca="false">Y38+Z38</f>
        <v>10</v>
      </c>
      <c r="AB38" s="56" t="n">
        <f aca="false">X38-AA38</f>
        <v>21</v>
      </c>
      <c r="AD38" s="0" t="n">
        <f aca="false">X38*24</f>
        <v>744</v>
      </c>
      <c r="AE38" s="0" t="n">
        <f aca="false">W38*16</f>
        <v>416</v>
      </c>
      <c r="AF38" s="0" t="n">
        <f aca="false">V38*24+W38*8</f>
        <v>328</v>
      </c>
      <c r="AH38" s="0" t="n">
        <f aca="false">X38*24</f>
        <v>744</v>
      </c>
      <c r="AI38" s="0" t="n">
        <f aca="false">AB38*16</f>
        <v>336</v>
      </c>
      <c r="AJ38" s="0" t="n">
        <f aca="false">AB38*13</f>
        <v>273</v>
      </c>
      <c r="AK38" s="0" t="n">
        <f aca="false">AB38*14</f>
        <v>294</v>
      </c>
      <c r="AL38" s="0" t="n">
        <f aca="false">AB38*8</f>
        <v>168</v>
      </c>
      <c r="AM38" s="0" t="n">
        <f aca="false">AA38*24</f>
        <v>240</v>
      </c>
      <c r="AO38" s="68" t="n">
        <f aca="false">AI38/AH38</f>
        <v>0.451612903225806</v>
      </c>
      <c r="AP38" s="68" t="n">
        <f aca="false">AL38/AH38</f>
        <v>0.225806451612903</v>
      </c>
      <c r="AQ38" s="68" t="n">
        <f aca="false">1-(AO38+AP38)</f>
        <v>0.32258064516129</v>
      </c>
      <c r="AR38" s="48" t="n">
        <f aca="false">AQ38+AP38</f>
        <v>0.548387096774194</v>
      </c>
      <c r="BA38" s="68" t="n">
        <f aca="false">AK38/AD38</f>
        <v>0.395161290322581</v>
      </c>
      <c r="BB38" s="52" t="n">
        <f aca="false">A38</f>
        <v>37316</v>
      </c>
    </row>
    <row r="39" customFormat="false" ht="12.75" hidden="false" customHeight="false" outlineLevel="0" collapsed="false">
      <c r="A39" s="52" t="n">
        <v>37347</v>
      </c>
      <c r="B39" s="59" t="n">
        <v>33.75</v>
      </c>
      <c r="C39" s="59" t="n">
        <v>21.4042</v>
      </c>
      <c r="D39" s="60" t="n">
        <v>33.75</v>
      </c>
      <c r="E39" s="60" t="n">
        <v>25.3125</v>
      </c>
      <c r="F39" s="60" t="n">
        <f aca="false">((G39*AD39)-(B39*AE39))*(1/AF39)</f>
        <v>22.227</v>
      </c>
      <c r="G39" s="54" t="n">
        <f aca="false">((Z39*16*E39)+(B39*W39*16)+(X39*8*C39))/(X39*24)</f>
        <v>28.8847333333333</v>
      </c>
      <c r="H39" s="54" t="n">
        <f aca="false">(F39*AF39+B39*AE39)/AD39</f>
        <v>28.8847333333333</v>
      </c>
      <c r="I39" s="54" t="n">
        <f aca="false">B39*$C$5+F39*$C$6</f>
        <v>28.67988</v>
      </c>
      <c r="K39" s="76" t="n">
        <v>3.81479569604164</v>
      </c>
      <c r="M39" s="71" t="n">
        <v>1.450824461543</v>
      </c>
      <c r="N39" s="71" t="n">
        <v>0.062203348011369</v>
      </c>
      <c r="O39" s="35" t="n">
        <f aca="false">1/((1+N39)^((A39-$B$2)/365))</f>
        <v>4.13035949216401</v>
      </c>
      <c r="P39" s="64"/>
      <c r="Q39" s="54" t="n">
        <f aca="false">M39*B39</f>
        <v>48.9653255770763</v>
      </c>
      <c r="R39" s="54" t="n">
        <f aca="false">C39*M39</f>
        <v>31.0537369397587</v>
      </c>
      <c r="S39" s="54" t="n">
        <f aca="false">M39*G39</f>
        <v>41.9066776851465</v>
      </c>
      <c r="T39" s="54" t="n">
        <f aca="false">F39*M39</f>
        <v>32.2474753067163</v>
      </c>
      <c r="V39" s="56" t="n">
        <f aca="false">Z39+AC39</f>
        <v>4</v>
      </c>
      <c r="W39" s="56" t="n">
        <f aca="false">X39-V39</f>
        <v>26</v>
      </c>
      <c r="X39" s="56" t="n">
        <f aca="false">A40-A39</f>
        <v>30</v>
      </c>
      <c r="Y39" s="77" t="n">
        <v>4</v>
      </c>
      <c r="Z39" s="77" t="n">
        <v>4</v>
      </c>
      <c r="AA39" s="56" t="n">
        <f aca="false">Y39+Z39</f>
        <v>8</v>
      </c>
      <c r="AB39" s="56" t="n">
        <f aca="false">X39-AA39</f>
        <v>22</v>
      </c>
      <c r="AD39" s="0" t="n">
        <f aca="false">X39*24</f>
        <v>720</v>
      </c>
      <c r="AE39" s="0" t="n">
        <f aca="false">W39*16</f>
        <v>416</v>
      </c>
      <c r="AF39" s="0" t="n">
        <f aca="false">V39*24+W39*8</f>
        <v>304</v>
      </c>
      <c r="AH39" s="0" t="n">
        <f aca="false">X39*24</f>
        <v>720</v>
      </c>
      <c r="AI39" s="0" t="n">
        <f aca="false">AB39*16</f>
        <v>352</v>
      </c>
      <c r="AJ39" s="0" t="n">
        <f aca="false">AB39*13</f>
        <v>286</v>
      </c>
      <c r="AK39" s="0" t="n">
        <f aca="false">AB39*14</f>
        <v>308</v>
      </c>
      <c r="AL39" s="0" t="n">
        <f aca="false">AB39*8</f>
        <v>176</v>
      </c>
      <c r="AM39" s="0" t="n">
        <f aca="false">AA39*24</f>
        <v>192</v>
      </c>
      <c r="AO39" s="68" t="n">
        <f aca="false">AI39/AH39</f>
        <v>0.488888888888889</v>
      </c>
      <c r="AP39" s="68" t="n">
        <f aca="false">AL39/AH39</f>
        <v>0.244444444444444</v>
      </c>
      <c r="AQ39" s="68" t="n">
        <f aca="false">1-(AO39+AP39)</f>
        <v>0.266666666666667</v>
      </c>
      <c r="AR39" s="48" t="n">
        <f aca="false">AQ39+AP39</f>
        <v>0.511111111111111</v>
      </c>
      <c r="BA39" s="68" t="n">
        <f aca="false">AK39/AD39</f>
        <v>0.427777777777778</v>
      </c>
      <c r="BB39" s="52" t="n">
        <f aca="false">A39</f>
        <v>37347</v>
      </c>
    </row>
    <row r="40" customFormat="false" ht="12.75" hidden="false" customHeight="false" outlineLevel="0" collapsed="false">
      <c r="A40" s="52" t="n">
        <v>37377</v>
      </c>
      <c r="B40" s="59" t="n">
        <v>33.25</v>
      </c>
      <c r="C40" s="59" t="n">
        <v>14.0685483870968</v>
      </c>
      <c r="D40" s="60" t="n">
        <v>32</v>
      </c>
      <c r="E40" s="60" t="n">
        <v>24</v>
      </c>
      <c r="F40" s="60" t="n">
        <f aca="false">((G40*AD40)-(B40*AE40))*(1/AF40)</f>
        <v>15.3201219512195</v>
      </c>
      <c r="G40" s="54" t="n">
        <f aca="false">((Z40*16*E40)+(B40*W40*16)+(X40*8*C40))/(X40*24)</f>
        <v>25.3454301075269</v>
      </c>
      <c r="H40" s="54" t="n">
        <f aca="false">(F40*AF40+B40*AE40)/AD40</f>
        <v>25.3454301075269</v>
      </c>
      <c r="I40" s="54" t="n">
        <f aca="false">B40*$C$5+F40*$C$6</f>
        <v>25.3608536585366</v>
      </c>
      <c r="K40" s="76" t="n">
        <v>3.7095017167494</v>
      </c>
      <c r="M40" s="71" t="n">
        <v>1.449832786878</v>
      </c>
      <c r="N40" s="71" t="n">
        <v>0.062271429559053</v>
      </c>
      <c r="O40" s="35" t="n">
        <f aca="false">1/((1+N40)^((A40-$B$2)/365))</f>
        <v>4.11609840000105</v>
      </c>
      <c r="P40" s="64"/>
      <c r="Q40" s="54" t="n">
        <f aca="false">M40*B40</f>
        <v>48.2069401636935</v>
      </c>
      <c r="R40" s="54" t="n">
        <f aca="false">C40*M40</f>
        <v>20.3970427153925</v>
      </c>
      <c r="S40" s="54" t="n">
        <f aca="false">M40*G40</f>
        <v>36.7466355674173</v>
      </c>
      <c r="T40" s="54" t="n">
        <f aca="false">F40*M40</f>
        <v>22.2116151038474</v>
      </c>
      <c r="V40" s="56" t="n">
        <f aca="false">Z40+AC40</f>
        <v>5</v>
      </c>
      <c r="W40" s="56" t="n">
        <f aca="false">X40-V40</f>
        <v>26</v>
      </c>
      <c r="X40" s="56" t="n">
        <f aca="false">A41-A40</f>
        <v>31</v>
      </c>
      <c r="Y40" s="77" t="n">
        <v>4</v>
      </c>
      <c r="Z40" s="77" t="n">
        <v>4</v>
      </c>
      <c r="AA40" s="56" t="n">
        <f aca="false">Y40+Z40</f>
        <v>8</v>
      </c>
      <c r="AB40" s="56" t="n">
        <f aca="false">X40-AA40</f>
        <v>23</v>
      </c>
      <c r="AC40" s="0" t="n">
        <v>1</v>
      </c>
      <c r="AD40" s="0" t="n">
        <f aca="false">X40*24</f>
        <v>744</v>
      </c>
      <c r="AE40" s="0" t="n">
        <f aca="false">W40*16</f>
        <v>416</v>
      </c>
      <c r="AF40" s="0" t="n">
        <f aca="false">V40*24+W40*8</f>
        <v>328</v>
      </c>
      <c r="AH40" s="0" t="n">
        <f aca="false">X40*24</f>
        <v>744</v>
      </c>
      <c r="AI40" s="0" t="n">
        <f aca="false">AB40*16</f>
        <v>368</v>
      </c>
      <c r="AJ40" s="0" t="n">
        <f aca="false">AB40*13</f>
        <v>299</v>
      </c>
      <c r="AK40" s="0" t="n">
        <f aca="false">AB40*14</f>
        <v>322</v>
      </c>
      <c r="AL40" s="0" t="n">
        <f aca="false">AB40*8</f>
        <v>184</v>
      </c>
      <c r="AM40" s="0" t="n">
        <f aca="false">AA40*24</f>
        <v>192</v>
      </c>
      <c r="AO40" s="68" t="n">
        <f aca="false">AI40/AH40</f>
        <v>0.494623655913979</v>
      </c>
      <c r="AP40" s="68" t="n">
        <f aca="false">AL40/AH40</f>
        <v>0.247311827956989</v>
      </c>
      <c r="AQ40" s="68" t="n">
        <f aca="false">1-(AO40+AP40)</f>
        <v>0.258064516129032</v>
      </c>
      <c r="AR40" s="48" t="n">
        <f aca="false">AQ40+AP40</f>
        <v>0.505376344086022</v>
      </c>
      <c r="BA40" s="68" t="n">
        <f aca="false">AK40/AD40</f>
        <v>0.432795698924731</v>
      </c>
      <c r="BB40" s="52" t="n">
        <f aca="false">A40</f>
        <v>37377</v>
      </c>
    </row>
    <row r="41" customFormat="false" ht="12.75" hidden="false" customHeight="false" outlineLevel="0" collapsed="false">
      <c r="A41" s="52" t="n">
        <v>37408</v>
      </c>
      <c r="B41" s="59" t="n">
        <v>34.25</v>
      </c>
      <c r="C41" s="59" t="n">
        <v>13.7</v>
      </c>
      <c r="D41" s="60" t="n">
        <v>33</v>
      </c>
      <c r="E41" s="60" t="n">
        <v>24.75</v>
      </c>
      <c r="F41" s="60" t="n">
        <f aca="false">((G41*AD41)-(B41*AE41))*(1/AF41)</f>
        <v>16.4625</v>
      </c>
      <c r="G41" s="54" t="n">
        <f aca="false">((Z41*16*E41)+(B41*W41*16)+(X41*8*C41))/(X41*24)</f>
        <v>26.3444444444444</v>
      </c>
      <c r="H41" s="54" t="n">
        <f aca="false">(F41*AF41+B41*AE41)/AD41</f>
        <v>26.3444444444444</v>
      </c>
      <c r="I41" s="54" t="n">
        <f aca="false">B41*$C$5+F41*$C$6</f>
        <v>26.4235</v>
      </c>
      <c r="K41" s="76" t="n">
        <v>3.66431575192777</v>
      </c>
      <c r="M41" s="71" t="n">
        <v>1.448822653859</v>
      </c>
      <c r="N41" s="71" t="n">
        <v>0.062341780493275</v>
      </c>
      <c r="O41" s="35" t="n">
        <f aca="false">1/((1+N41)^((A41-$B$2)/365))</f>
        <v>4.10136785666976</v>
      </c>
      <c r="P41" s="64"/>
      <c r="Q41" s="54" t="n">
        <f aca="false">M41*B41</f>
        <v>49.6221758946708</v>
      </c>
      <c r="R41" s="54" t="n">
        <f aca="false">C41*M41</f>
        <v>19.8488703578683</v>
      </c>
      <c r="S41" s="54" t="n">
        <f aca="false">M41*G41</f>
        <v>38.168427914441</v>
      </c>
      <c r="T41" s="54" t="n">
        <f aca="false">F41*M41</f>
        <v>23.8512429391538</v>
      </c>
      <c r="V41" s="56" t="n">
        <f aca="false">Z41+AC41</f>
        <v>5</v>
      </c>
      <c r="W41" s="56" t="n">
        <f aca="false">X41-V41</f>
        <v>25</v>
      </c>
      <c r="X41" s="56" t="n">
        <f aca="false">A42-A41</f>
        <v>30</v>
      </c>
      <c r="Y41" s="77" t="n">
        <v>5</v>
      </c>
      <c r="Z41" s="77" t="n">
        <v>5</v>
      </c>
      <c r="AA41" s="56" t="n">
        <f aca="false">Y41+Z41</f>
        <v>10</v>
      </c>
      <c r="AB41" s="56" t="n">
        <f aca="false">X41-AA41</f>
        <v>20</v>
      </c>
      <c r="AD41" s="0" t="n">
        <f aca="false">X41*24</f>
        <v>720</v>
      </c>
      <c r="AE41" s="0" t="n">
        <f aca="false">W41*16</f>
        <v>400</v>
      </c>
      <c r="AF41" s="0" t="n">
        <f aca="false">V41*24+W41*8</f>
        <v>320</v>
      </c>
      <c r="AH41" s="0" t="n">
        <f aca="false">X41*24</f>
        <v>720</v>
      </c>
      <c r="AI41" s="0" t="n">
        <f aca="false">AB41*16</f>
        <v>320</v>
      </c>
      <c r="AJ41" s="0" t="n">
        <f aca="false">AB41*13</f>
        <v>260</v>
      </c>
      <c r="AK41" s="0" t="n">
        <f aca="false">AB41*14</f>
        <v>280</v>
      </c>
      <c r="AL41" s="0" t="n">
        <f aca="false">AB41*8</f>
        <v>160</v>
      </c>
      <c r="AM41" s="0" t="n">
        <f aca="false">AA41*24</f>
        <v>240</v>
      </c>
      <c r="AO41" s="68" t="n">
        <f aca="false">AI41/AH41</f>
        <v>0.444444444444444</v>
      </c>
      <c r="AP41" s="68" t="n">
        <f aca="false">AL41/AH41</f>
        <v>0.222222222222222</v>
      </c>
      <c r="AQ41" s="68" t="n">
        <f aca="false">1-(AO41+AP41)</f>
        <v>0.333333333333333</v>
      </c>
      <c r="AR41" s="48" t="n">
        <f aca="false">AQ41+AP41</f>
        <v>0.555555555555556</v>
      </c>
      <c r="BA41" s="68" t="n">
        <f aca="false">AK41/AD41</f>
        <v>0.388888888888889</v>
      </c>
      <c r="BB41" s="52" t="n">
        <f aca="false">A41</f>
        <v>37408</v>
      </c>
    </row>
    <row r="42" customFormat="false" ht="12.75" hidden="false" customHeight="false" outlineLevel="0" collapsed="false">
      <c r="A42" s="52" t="n">
        <v>37438</v>
      </c>
      <c r="B42" s="59" t="n">
        <v>61.5</v>
      </c>
      <c r="C42" s="59" t="n">
        <v>22.9596774193548</v>
      </c>
      <c r="D42" s="60" t="n">
        <v>60.4125</v>
      </c>
      <c r="E42" s="60" t="n">
        <v>45.309375</v>
      </c>
      <c r="F42" s="60" t="n">
        <f aca="false">((G42*AD42)-(B42*AE42))*(1/AF42)</f>
        <v>26.2006097560976</v>
      </c>
      <c r="G42" s="54" t="n">
        <f aca="false">((Z42*16*E42)+(B42*W42*16)+(X42*8*C42))/(X42*24)</f>
        <v>45.9379032258065</v>
      </c>
      <c r="H42" s="54" t="n">
        <f aca="false">(F42*AF42+B42*AE42)/AD42</f>
        <v>45.9379032258065</v>
      </c>
      <c r="I42" s="54" t="n">
        <f aca="false">B42*$C$5+F42*$C$6</f>
        <v>45.9682682926829</v>
      </c>
      <c r="K42" s="76" t="n">
        <v>3.64926558862482</v>
      </c>
      <c r="M42" s="71" t="n">
        <v>1.447788871271</v>
      </c>
      <c r="N42" s="71" t="n">
        <v>0.062383846124741</v>
      </c>
      <c r="O42" s="35" t="n">
        <f aca="false">1/((1+N42)^((A42-$B$2)/365))</f>
        <v>4.08479171813399</v>
      </c>
      <c r="P42" s="64"/>
      <c r="Q42" s="54" t="n">
        <f aca="false">M42*B42</f>
        <v>89.0390155831665</v>
      </c>
      <c r="R42" s="54" t="n">
        <f aca="false">C42*M42</f>
        <v>33.240765455714</v>
      </c>
      <c r="S42" s="54" t="n">
        <f aca="false">M42*G42</f>
        <v>66.5083850598468</v>
      </c>
      <c r="T42" s="54" t="n">
        <f aca="false">F42*M42</f>
        <v>37.9329512253925</v>
      </c>
      <c r="V42" s="56" t="n">
        <f aca="false">Z42+AC42</f>
        <v>5</v>
      </c>
      <c r="W42" s="56" t="n">
        <f aca="false">X42-V42</f>
        <v>26</v>
      </c>
      <c r="X42" s="56" t="n">
        <f aca="false">A43-A42</f>
        <v>31</v>
      </c>
      <c r="Y42" s="77" t="n">
        <v>4</v>
      </c>
      <c r="Z42" s="77" t="n">
        <v>4</v>
      </c>
      <c r="AA42" s="56" t="n">
        <f aca="false">Y42+Z42</f>
        <v>8</v>
      </c>
      <c r="AB42" s="56" t="n">
        <f aca="false">X42-AA42</f>
        <v>23</v>
      </c>
      <c r="AC42" s="0" t="n">
        <v>1</v>
      </c>
      <c r="AD42" s="0" t="n">
        <f aca="false">X42*24</f>
        <v>744</v>
      </c>
      <c r="AE42" s="0" t="n">
        <f aca="false">W42*16</f>
        <v>416</v>
      </c>
      <c r="AF42" s="0" t="n">
        <f aca="false">V42*24+W42*8</f>
        <v>328</v>
      </c>
      <c r="AH42" s="0" t="n">
        <f aca="false">X42*24</f>
        <v>744</v>
      </c>
      <c r="AI42" s="0" t="n">
        <f aca="false">AB42*16</f>
        <v>368</v>
      </c>
      <c r="AJ42" s="0" t="n">
        <f aca="false">AB42*13</f>
        <v>299</v>
      </c>
      <c r="AK42" s="0" t="n">
        <f aca="false">AB42*14</f>
        <v>322</v>
      </c>
      <c r="AL42" s="0" t="n">
        <f aca="false">AB42*8</f>
        <v>184</v>
      </c>
      <c r="AM42" s="0" t="n">
        <f aca="false">AA42*24</f>
        <v>192</v>
      </c>
      <c r="AO42" s="68" t="n">
        <f aca="false">AI42/AH42</f>
        <v>0.494623655913979</v>
      </c>
      <c r="AP42" s="68" t="n">
        <f aca="false">AL42/AH42</f>
        <v>0.247311827956989</v>
      </c>
      <c r="AQ42" s="68" t="n">
        <f aca="false">1-(AO42+AP42)</f>
        <v>0.258064516129032</v>
      </c>
      <c r="AR42" s="48" t="n">
        <f aca="false">AQ42+AP42</f>
        <v>0.505376344086022</v>
      </c>
      <c r="BA42" s="68" t="n">
        <f aca="false">AK42/AD42</f>
        <v>0.432795698924731</v>
      </c>
      <c r="BB42" s="52" t="n">
        <f aca="false">A42</f>
        <v>37438</v>
      </c>
    </row>
    <row r="43" customFormat="false" ht="12.75" hidden="false" customHeight="false" outlineLevel="0" collapsed="false">
      <c r="A43" s="52" t="n">
        <v>37469</v>
      </c>
      <c r="B43" s="59" t="n">
        <v>75</v>
      </c>
      <c r="C43" s="59" t="n">
        <v>31.25</v>
      </c>
      <c r="D43" s="60" t="n">
        <v>73.9125</v>
      </c>
      <c r="E43" s="60" t="n">
        <v>55.434375</v>
      </c>
      <c r="F43" s="60" t="n">
        <f aca="false">((G43*AD43)-(B43*AE43))*(1/AF43)</f>
        <v>36.2108974358974</v>
      </c>
      <c r="G43" s="54" t="n">
        <f aca="false">((Z43*16*E43)+(B43*W43*16)+(X43*8*C43))/(X43*24)</f>
        <v>58.7336021505376</v>
      </c>
      <c r="H43" s="54" t="n">
        <f aca="false">(F43*AF43+B43*AE43)/AD43</f>
        <v>58.7336021505376</v>
      </c>
      <c r="I43" s="54" t="n">
        <f aca="false">B43*$C$5+F43*$C$6</f>
        <v>57.9327948717949</v>
      </c>
      <c r="K43" s="76" t="n">
        <v>3.64228508595544</v>
      </c>
      <c r="M43" s="71" t="n">
        <v>1.446644960004</v>
      </c>
      <c r="N43" s="71" t="n">
        <v>0.062396590382493</v>
      </c>
      <c r="O43" s="35" t="n">
        <f aca="false">1/((1+N43)^((A43-$B$2)/365))</f>
        <v>4.06498082836543</v>
      </c>
      <c r="P43" s="64"/>
      <c r="Q43" s="54" t="n">
        <f aca="false">M43*B43</f>
        <v>108.4983720003</v>
      </c>
      <c r="R43" s="54" t="n">
        <f aca="false">C43*M43</f>
        <v>45.207655000125</v>
      </c>
      <c r="S43" s="54" t="n">
        <f aca="false">M43*G43</f>
        <v>84.9666695339554</v>
      </c>
      <c r="T43" s="54" t="n">
        <f aca="false">F43*M43</f>
        <v>52.3843122728628</v>
      </c>
      <c r="V43" s="56" t="n">
        <f aca="false">Z43+AC43</f>
        <v>4</v>
      </c>
      <c r="W43" s="56" t="n">
        <f aca="false">X43-V43</f>
        <v>27</v>
      </c>
      <c r="X43" s="56" t="n">
        <f aca="false">A44-A43</f>
        <v>31</v>
      </c>
      <c r="Y43" s="77" t="n">
        <v>5</v>
      </c>
      <c r="Z43" s="77" t="n">
        <v>4</v>
      </c>
      <c r="AA43" s="56" t="n">
        <f aca="false">Y43+Z43</f>
        <v>9</v>
      </c>
      <c r="AB43" s="56" t="n">
        <f aca="false">X43-AA43</f>
        <v>22</v>
      </c>
      <c r="AD43" s="0" t="n">
        <f aca="false">X43*24</f>
        <v>744</v>
      </c>
      <c r="AE43" s="0" t="n">
        <f aca="false">W43*16</f>
        <v>432</v>
      </c>
      <c r="AF43" s="0" t="n">
        <f aca="false">V43*24+W43*8</f>
        <v>312</v>
      </c>
      <c r="AH43" s="0" t="n">
        <f aca="false">X43*24</f>
        <v>744</v>
      </c>
      <c r="AI43" s="0" t="n">
        <f aca="false">AB43*16</f>
        <v>352</v>
      </c>
      <c r="AJ43" s="0" t="n">
        <f aca="false">AB43*13</f>
        <v>286</v>
      </c>
      <c r="AK43" s="0" t="n">
        <f aca="false">AB43*14</f>
        <v>308</v>
      </c>
      <c r="AL43" s="0" t="n">
        <f aca="false">AB43*8</f>
        <v>176</v>
      </c>
      <c r="AM43" s="0" t="n">
        <f aca="false">AA43*24</f>
        <v>216</v>
      </c>
      <c r="AO43" s="68" t="n">
        <f aca="false">AI43/AH43</f>
        <v>0.473118279569893</v>
      </c>
      <c r="AP43" s="68" t="n">
        <f aca="false">AL43/AH43</f>
        <v>0.236559139784946</v>
      </c>
      <c r="AQ43" s="68" t="n">
        <f aca="false">1-(AO43+AP43)</f>
        <v>0.290322580645161</v>
      </c>
      <c r="AR43" s="48" t="n">
        <f aca="false">AQ43+AP43</f>
        <v>0.526881720430108</v>
      </c>
      <c r="BA43" s="68" t="n">
        <f aca="false">AK43/AD43</f>
        <v>0.413978494623656</v>
      </c>
      <c r="BB43" s="52" t="n">
        <f aca="false">A43</f>
        <v>37469</v>
      </c>
    </row>
    <row r="44" customFormat="false" ht="12.75" hidden="false" customHeight="false" outlineLevel="0" collapsed="false">
      <c r="A44" s="52" t="n">
        <v>37500</v>
      </c>
      <c r="B44" s="59" t="n">
        <v>64.5</v>
      </c>
      <c r="C44" s="59" t="n">
        <v>32</v>
      </c>
      <c r="D44" s="60" t="n">
        <v>62.25</v>
      </c>
      <c r="E44" s="60" t="n">
        <v>46.6875</v>
      </c>
      <c r="F44" s="60" t="n">
        <f aca="false">((G44*AD44)-(B44*AE44))*(1/AF44)</f>
        <v>33.9732142857143</v>
      </c>
      <c r="G44" s="54" t="n">
        <f aca="false">((Z44*16*E44)+(B44*W44*16)+(X44*8*C44))/(X44*24)</f>
        <v>50.2541666666667</v>
      </c>
      <c r="H44" s="54" t="n">
        <f aca="false">(F44*AF44+B44*AE44)/AD44</f>
        <v>50.2541666666667</v>
      </c>
      <c r="I44" s="54" t="n">
        <f aca="false">B44*$C$5+F44*$C$6</f>
        <v>51.0682142857143</v>
      </c>
      <c r="K44" s="76" t="n">
        <v>3.61899076506752</v>
      </c>
      <c r="M44" s="71" t="n">
        <v>1.445503280732</v>
      </c>
      <c r="N44" s="71" t="n">
        <v>0.062409334640299</v>
      </c>
      <c r="O44" s="35" t="n">
        <f aca="false">1/((1+N44)^((A44-$B$2)/365))</f>
        <v>4.04525776345876</v>
      </c>
      <c r="P44" s="64"/>
      <c r="Q44" s="54" t="n">
        <f aca="false">M44*B44</f>
        <v>93.234961607214</v>
      </c>
      <c r="R44" s="54" t="n">
        <f aca="false">C44*M44</f>
        <v>46.256104983424</v>
      </c>
      <c r="S44" s="54" t="n">
        <f aca="false">M44*G44</f>
        <v>72.6425627871194</v>
      </c>
      <c r="T44" s="54" t="n">
        <f aca="false">F44*M44</f>
        <v>49.1083927070113</v>
      </c>
      <c r="V44" s="56" t="n">
        <f aca="false">Z44+AC44</f>
        <v>6</v>
      </c>
      <c r="W44" s="56" t="n">
        <f aca="false">X44-V44</f>
        <v>24</v>
      </c>
      <c r="X44" s="56" t="n">
        <f aca="false">A45-A44</f>
        <v>30</v>
      </c>
      <c r="Y44" s="77" t="n">
        <v>4</v>
      </c>
      <c r="Z44" s="77" t="n">
        <v>5</v>
      </c>
      <c r="AA44" s="56" t="n">
        <f aca="false">Y44+Z44</f>
        <v>9</v>
      </c>
      <c r="AB44" s="56" t="n">
        <f aca="false">X44-AA44</f>
        <v>21</v>
      </c>
      <c r="AC44" s="0" t="n">
        <v>1</v>
      </c>
      <c r="AD44" s="0" t="n">
        <f aca="false">X44*24</f>
        <v>720</v>
      </c>
      <c r="AE44" s="0" t="n">
        <f aca="false">W44*16</f>
        <v>384</v>
      </c>
      <c r="AF44" s="0" t="n">
        <f aca="false">V44*24+W44*8</f>
        <v>336</v>
      </c>
      <c r="AH44" s="0" t="n">
        <f aca="false">X44*24</f>
        <v>720</v>
      </c>
      <c r="AI44" s="0" t="n">
        <f aca="false">AB44*16</f>
        <v>336</v>
      </c>
      <c r="AJ44" s="0" t="n">
        <f aca="false">AB44*13</f>
        <v>273</v>
      </c>
      <c r="AK44" s="0" t="n">
        <f aca="false">AB44*14</f>
        <v>294</v>
      </c>
      <c r="AL44" s="0" t="n">
        <f aca="false">AB44*8</f>
        <v>168</v>
      </c>
      <c r="AM44" s="0" t="n">
        <f aca="false">AA44*24</f>
        <v>216</v>
      </c>
      <c r="AO44" s="68" t="n">
        <f aca="false">AI44/AH44</f>
        <v>0.466666666666667</v>
      </c>
      <c r="AP44" s="68" t="n">
        <f aca="false">AL44/AH44</f>
        <v>0.233333333333333</v>
      </c>
      <c r="AQ44" s="68" t="n">
        <f aca="false">1-(AO44+AP44)</f>
        <v>0.3</v>
      </c>
      <c r="AR44" s="48" t="n">
        <f aca="false">AQ44+AP44</f>
        <v>0.533333333333333</v>
      </c>
      <c r="BA44" s="68" t="n">
        <f aca="false">AK44/AD44</f>
        <v>0.408333333333333</v>
      </c>
      <c r="BB44" s="52" t="n">
        <f aca="false">A44</f>
        <v>37500</v>
      </c>
    </row>
    <row r="45" customFormat="false" ht="12.75" hidden="false" customHeight="false" outlineLevel="0" collapsed="false">
      <c r="A45" s="52" t="n">
        <v>37530</v>
      </c>
      <c r="B45" s="59" t="n">
        <v>48.75</v>
      </c>
      <c r="C45" s="59" t="n">
        <v>32.3629032258065</v>
      </c>
      <c r="D45" s="60" t="n">
        <v>47.5</v>
      </c>
      <c r="E45" s="60" t="n">
        <v>35.625</v>
      </c>
      <c r="F45" s="60" t="n">
        <f aca="false">((G45*AD45)-(B45*AE45))*(1/AF45)</f>
        <v>33.0320512820513</v>
      </c>
      <c r="G45" s="54" t="n">
        <f aca="false">((Z45*16*E45)+(B45*W45*16)+(X45*8*C45))/(X45*24)</f>
        <v>42.1586021505376</v>
      </c>
      <c r="H45" s="54" t="n">
        <f aca="false">(F45*AF45+B45*AE45)/AD45</f>
        <v>42.1586021505376</v>
      </c>
      <c r="I45" s="54" t="n">
        <f aca="false">B45*$C$5+F45*$C$6</f>
        <v>41.8341025641026</v>
      </c>
      <c r="K45" s="76" t="n">
        <v>3.63936890421286</v>
      </c>
      <c r="M45" s="71" t="n">
        <v>1.444411226918</v>
      </c>
      <c r="N45" s="71" t="n">
        <v>0.062421667793065</v>
      </c>
      <c r="O45" s="35" t="n">
        <f aca="false">1/((1+N45)^((A45-$B$2)/365))</f>
        <v>4.02625422183379</v>
      </c>
      <c r="P45" s="64"/>
      <c r="Q45" s="54" t="n">
        <f aca="false">M45*B45</f>
        <v>70.4150473122525</v>
      </c>
      <c r="R45" s="54" t="n">
        <f aca="false">C45*M45</f>
        <v>46.7453407550156</v>
      </c>
      <c r="S45" s="54" t="n">
        <f aca="false">M45*G45</f>
        <v>60.8943582574059</v>
      </c>
      <c r="T45" s="54" t="n">
        <f aca="false">F45*M45</f>
        <v>47.711865719926</v>
      </c>
      <c r="V45" s="56" t="n">
        <f aca="false">Z45+AC45</f>
        <v>4</v>
      </c>
      <c r="W45" s="56" t="n">
        <f aca="false">X45-V45</f>
        <v>27</v>
      </c>
      <c r="X45" s="56" t="n">
        <f aca="false">A46-A45</f>
        <v>31</v>
      </c>
      <c r="Y45" s="77" t="n">
        <v>4</v>
      </c>
      <c r="Z45" s="77" t="n">
        <v>4</v>
      </c>
      <c r="AA45" s="56" t="n">
        <f aca="false">Y45+Z45</f>
        <v>8</v>
      </c>
      <c r="AB45" s="56" t="n">
        <f aca="false">X45-AA45</f>
        <v>23</v>
      </c>
      <c r="AD45" s="0" t="n">
        <f aca="false">X45*24</f>
        <v>744</v>
      </c>
      <c r="AE45" s="0" t="n">
        <f aca="false">W45*16</f>
        <v>432</v>
      </c>
      <c r="AF45" s="0" t="n">
        <f aca="false">V45*24+W45*8</f>
        <v>312</v>
      </c>
      <c r="AH45" s="0" t="n">
        <f aca="false">X45*24</f>
        <v>744</v>
      </c>
      <c r="AI45" s="0" t="n">
        <f aca="false">AB45*16</f>
        <v>368</v>
      </c>
      <c r="AJ45" s="0" t="n">
        <f aca="false">AB45*13</f>
        <v>299</v>
      </c>
      <c r="AK45" s="0" t="n">
        <f aca="false">AB45*14</f>
        <v>322</v>
      </c>
      <c r="AL45" s="0" t="n">
        <f aca="false">AB45*8</f>
        <v>184</v>
      </c>
      <c r="AM45" s="0" t="n">
        <f aca="false">AA45*24</f>
        <v>192</v>
      </c>
      <c r="AO45" s="68" t="n">
        <f aca="false">AI45/AH45</f>
        <v>0.494623655913979</v>
      </c>
      <c r="AP45" s="68" t="n">
        <f aca="false">AL45/AH45</f>
        <v>0.247311827956989</v>
      </c>
      <c r="AQ45" s="68" t="n">
        <f aca="false">1-(AO45+AP45)</f>
        <v>0.258064516129032</v>
      </c>
      <c r="AR45" s="48" t="n">
        <f aca="false">AQ45+AP45</f>
        <v>0.505376344086022</v>
      </c>
      <c r="BA45" s="68" t="n">
        <f aca="false">AK45/AD45</f>
        <v>0.432795698924731</v>
      </c>
      <c r="BB45" s="52" t="n">
        <f aca="false">A45</f>
        <v>37530</v>
      </c>
    </row>
    <row r="46" customFormat="false" ht="12.75" hidden="false" customHeight="false" outlineLevel="0" collapsed="false">
      <c r="A46" s="52" t="n">
        <v>37561</v>
      </c>
      <c r="B46" s="59" t="n">
        <v>44.75</v>
      </c>
      <c r="C46" s="59" t="n">
        <v>32.4375</v>
      </c>
      <c r="D46" s="60" t="n">
        <v>43.5</v>
      </c>
      <c r="E46" s="60" t="n">
        <v>32.625</v>
      </c>
      <c r="F46" s="60" t="n">
        <f aca="false">((G46*AD46)-(B46*AE46))*(1/AF46)</f>
        <v>30.853125</v>
      </c>
      <c r="G46" s="54" t="n">
        <f aca="false">((Z46*16*E46)+(B46*W46*16)+(X46*8*C46))/(X46*24)</f>
        <v>38.5736111111111</v>
      </c>
      <c r="H46" s="54" t="n">
        <f aca="false">(F46*AF46+B46*AE46)/AD46</f>
        <v>38.5736111111111</v>
      </c>
      <c r="I46" s="54" t="n">
        <f aca="false">B46*$C$5+F46*$C$6</f>
        <v>38.635375</v>
      </c>
      <c r="K46" s="76" t="n">
        <v>3.75750273171936</v>
      </c>
      <c r="M46" s="71" t="n">
        <v>1.443301628317</v>
      </c>
      <c r="N46" s="71" t="n">
        <v>0.062434412050977</v>
      </c>
      <c r="O46" s="35" t="n">
        <f aca="false">1/((1+N46)^((A46-$B$2)/365))</f>
        <v>4.0067029653797</v>
      </c>
      <c r="P46" s="64"/>
      <c r="Q46" s="54" t="n">
        <f aca="false">M46*B46</f>
        <v>64.5877478671858</v>
      </c>
      <c r="R46" s="54" t="n">
        <f aca="false">C46*M46</f>
        <v>46.8170965685327</v>
      </c>
      <c r="S46" s="54" t="n">
        <f aca="false">M46*G46</f>
        <v>55.6733557267334</v>
      </c>
      <c r="T46" s="54" t="n">
        <f aca="false">F46*M46</f>
        <v>44.530365551168</v>
      </c>
      <c r="V46" s="56" t="n">
        <f aca="false">Z46+AC46</f>
        <v>5</v>
      </c>
      <c r="W46" s="56" t="n">
        <f aca="false">X46-V46</f>
        <v>25</v>
      </c>
      <c r="X46" s="56" t="n">
        <f aca="false">A47-A46</f>
        <v>30</v>
      </c>
      <c r="Y46" s="77" t="n">
        <v>5</v>
      </c>
      <c r="Z46" s="77" t="n">
        <v>4</v>
      </c>
      <c r="AA46" s="56" t="n">
        <f aca="false">Y46+Z46</f>
        <v>9</v>
      </c>
      <c r="AB46" s="56" t="n">
        <f aca="false">X46-AA46</f>
        <v>21</v>
      </c>
      <c r="AC46" s="0" t="n">
        <v>1</v>
      </c>
      <c r="AD46" s="0" t="n">
        <f aca="false">X46*24</f>
        <v>720</v>
      </c>
      <c r="AE46" s="0" t="n">
        <f aca="false">W46*16</f>
        <v>400</v>
      </c>
      <c r="AF46" s="0" t="n">
        <f aca="false">V46*24+W46*8</f>
        <v>320</v>
      </c>
      <c r="AH46" s="0" t="n">
        <f aca="false">X46*24</f>
        <v>720</v>
      </c>
      <c r="AI46" s="0" t="n">
        <f aca="false">AB46*16</f>
        <v>336</v>
      </c>
      <c r="AJ46" s="0" t="n">
        <f aca="false">AB46*13</f>
        <v>273</v>
      </c>
      <c r="AK46" s="0" t="n">
        <f aca="false">AB46*14</f>
        <v>294</v>
      </c>
      <c r="AL46" s="0" t="n">
        <f aca="false">AB46*8</f>
        <v>168</v>
      </c>
      <c r="AM46" s="0" t="n">
        <f aca="false">AA46*24</f>
        <v>216</v>
      </c>
      <c r="AO46" s="68" t="n">
        <f aca="false">AI46/AH46</f>
        <v>0.466666666666667</v>
      </c>
      <c r="AP46" s="68" t="n">
        <f aca="false">AL46/AH46</f>
        <v>0.233333333333333</v>
      </c>
      <c r="AQ46" s="68" t="n">
        <f aca="false">1-(AO46+AP46)</f>
        <v>0.3</v>
      </c>
      <c r="AR46" s="48" t="n">
        <f aca="false">AQ46+AP46</f>
        <v>0.533333333333333</v>
      </c>
      <c r="BA46" s="68" t="n">
        <f aca="false">AK46/AD46</f>
        <v>0.408333333333333</v>
      </c>
      <c r="BB46" s="52" t="n">
        <f aca="false">A46</f>
        <v>37561</v>
      </c>
    </row>
    <row r="47" customFormat="false" ht="12.75" hidden="false" customHeight="false" outlineLevel="0" collapsed="false">
      <c r="A47" s="52" t="n">
        <v>37591</v>
      </c>
      <c r="B47" s="59" t="n">
        <v>44.75</v>
      </c>
      <c r="C47" s="59" t="n">
        <v>29.6129032258065</v>
      </c>
      <c r="D47" s="60" t="n">
        <v>43.5</v>
      </c>
      <c r="E47" s="60" t="n">
        <v>32.625</v>
      </c>
      <c r="F47" s="60" t="n">
        <f aca="false">((G47*AD47)-(B47*AE47))*(1/AF47)</f>
        <v>28.9360465116279</v>
      </c>
      <c r="G47" s="54" t="n">
        <f aca="false">((Z47*16*E47)+(B47*W47*16)+(X47*8*C47))/(X47*24)</f>
        <v>37.4381720430108</v>
      </c>
      <c r="H47" s="54" t="n">
        <f aca="false">(F47*AF47+B47*AE47)/AD47</f>
        <v>37.4381720430108</v>
      </c>
      <c r="I47" s="54" t="n">
        <f aca="false">B47*$C$5+F47*$C$6</f>
        <v>37.7918604651163</v>
      </c>
      <c r="K47" s="76" t="n">
        <v>3.89185685737241</v>
      </c>
      <c r="M47" s="71" t="n">
        <v>1.442231750526</v>
      </c>
      <c r="N47" s="71" t="n">
        <v>0.062446745203846</v>
      </c>
      <c r="O47" s="35" t="n">
        <f aca="false">1/((1+N47)^((A47-$B$2)/365))</f>
        <v>3.98786504553264</v>
      </c>
      <c r="P47" s="64"/>
      <c r="Q47" s="54" t="n">
        <f aca="false">M47*B47</f>
        <v>64.5398708360385</v>
      </c>
      <c r="R47" s="54" t="n">
        <f aca="false">C47*M47</f>
        <v>42.7086692575119</v>
      </c>
      <c r="S47" s="54" t="n">
        <f aca="false">M47*G47</f>
        <v>53.994520402085</v>
      </c>
      <c r="T47" s="54" t="n">
        <f aca="false">F47*M47</f>
        <v>41.7324850137669</v>
      </c>
      <c r="V47" s="56" t="n">
        <f aca="false">Z47+AC47</f>
        <v>6</v>
      </c>
      <c r="W47" s="56" t="n">
        <f aca="false">X47-V47</f>
        <v>25</v>
      </c>
      <c r="X47" s="56" t="n">
        <f aca="false">A48-A47</f>
        <v>31</v>
      </c>
      <c r="Y47" s="77" t="n">
        <v>4</v>
      </c>
      <c r="Z47" s="77" t="n">
        <v>5</v>
      </c>
      <c r="AA47" s="56" t="n">
        <f aca="false">Y47+Z47</f>
        <v>9</v>
      </c>
      <c r="AB47" s="56" t="n">
        <f aca="false">X47-AA47</f>
        <v>22</v>
      </c>
      <c r="AC47" s="0" t="n">
        <v>1</v>
      </c>
      <c r="AD47" s="0" t="n">
        <f aca="false">X47*24</f>
        <v>744</v>
      </c>
      <c r="AE47" s="0" t="n">
        <f aca="false">W47*16</f>
        <v>400</v>
      </c>
      <c r="AF47" s="0" t="n">
        <f aca="false">V47*24+W47*8</f>
        <v>344</v>
      </c>
      <c r="AH47" s="0" t="n">
        <f aca="false">X47*24</f>
        <v>744</v>
      </c>
      <c r="AI47" s="0" t="n">
        <f aca="false">AB47*16</f>
        <v>352</v>
      </c>
      <c r="AJ47" s="0" t="n">
        <f aca="false">AB47*13</f>
        <v>286</v>
      </c>
      <c r="AK47" s="0" t="n">
        <f aca="false">AB47*14</f>
        <v>308</v>
      </c>
      <c r="AL47" s="0" t="n">
        <f aca="false">AB47*8</f>
        <v>176</v>
      </c>
      <c r="AM47" s="0" t="n">
        <f aca="false">AA47*24</f>
        <v>216</v>
      </c>
      <c r="AO47" s="68" t="n">
        <f aca="false">AI47/AH47</f>
        <v>0.473118279569893</v>
      </c>
      <c r="AP47" s="68" t="n">
        <f aca="false">AL47/AH47</f>
        <v>0.236559139784946</v>
      </c>
      <c r="AQ47" s="68" t="n">
        <f aca="false">1-(AO47+AP47)</f>
        <v>0.290322580645161</v>
      </c>
      <c r="AR47" s="48" t="n">
        <f aca="false">AQ47+AP47</f>
        <v>0.526881720430108</v>
      </c>
      <c r="BA47" s="68" t="n">
        <f aca="false">AK47/AD47</f>
        <v>0.413978494623656</v>
      </c>
      <c r="BB47" s="52" t="n">
        <f aca="false">A47</f>
        <v>37591</v>
      </c>
    </row>
    <row r="48" customFormat="false" ht="12.75" hidden="false" customHeight="false" outlineLevel="0" collapsed="false">
      <c r="A48" s="52" t="n">
        <v>37622</v>
      </c>
      <c r="B48" s="59" t="n">
        <v>31.5</v>
      </c>
      <c r="C48" s="59" t="n">
        <v>27.6370967741935</v>
      </c>
      <c r="D48" s="60" t="n">
        <v>31.5</v>
      </c>
      <c r="E48" s="60" t="n">
        <v>23.625</v>
      </c>
      <c r="F48" s="60" t="n">
        <f aca="false">((G48*AD48)-(B48*AE48))*(1/AF48)</f>
        <v>25.5060975609756</v>
      </c>
      <c r="G48" s="54" t="n">
        <f aca="false">((Z48*16*E48)+(B48*W48*16)+(X48*8*C48))/(X48*24)</f>
        <v>28.8575268817204</v>
      </c>
      <c r="H48" s="54" t="n">
        <f aca="false">(F48*AF48+B48*AE48)/AD48</f>
        <v>28.8575268817204</v>
      </c>
      <c r="I48" s="54" t="n">
        <f aca="false">B48*$C$5+F48*$C$6</f>
        <v>28.8626829268293</v>
      </c>
      <c r="K48" s="76" t="n">
        <v>3.91054893306088</v>
      </c>
      <c r="M48" s="71" t="n">
        <v>1.441114793257</v>
      </c>
      <c r="N48" s="71" t="n">
        <v>0.062459489461864</v>
      </c>
      <c r="O48" s="35" t="n">
        <f aca="false">1/((1+N48)^((A48-$B$2)/365))</f>
        <v>3.96848426781117</v>
      </c>
      <c r="P48" s="64"/>
      <c r="Q48" s="54" t="n">
        <f aca="false">M48*B48</f>
        <v>45.3951159875955</v>
      </c>
      <c r="R48" s="54" t="n">
        <f aca="false">C48*M48</f>
        <v>39.8282290039656</v>
      </c>
      <c r="S48" s="54" t="n">
        <f aca="false">M48*G48</f>
        <v>41.5870088860589</v>
      </c>
      <c r="T48" s="54" t="n">
        <f aca="false">F48*M48</f>
        <v>36.7572145133783</v>
      </c>
      <c r="V48" s="56" t="n">
        <f aca="false">Z48+AC48</f>
        <v>5</v>
      </c>
      <c r="W48" s="56" t="n">
        <f aca="false">X48-V48</f>
        <v>26</v>
      </c>
      <c r="X48" s="56" t="n">
        <f aca="false">A49-A48</f>
        <v>31</v>
      </c>
      <c r="Y48" s="78" t="n">
        <v>4</v>
      </c>
      <c r="Z48" s="78" t="n">
        <v>4</v>
      </c>
      <c r="AA48" s="56" t="n">
        <f aca="false">Y48+Z48</f>
        <v>8</v>
      </c>
      <c r="AB48" s="56" t="n">
        <f aca="false">X48-AA48</f>
        <v>23</v>
      </c>
      <c r="AC48" s="0" t="n">
        <v>1</v>
      </c>
      <c r="AD48" s="0" t="n">
        <f aca="false">X48*24</f>
        <v>744</v>
      </c>
      <c r="AE48" s="0" t="n">
        <f aca="false">W48*16</f>
        <v>416</v>
      </c>
      <c r="AF48" s="0" t="n">
        <f aca="false">V48*24+W48*8</f>
        <v>328</v>
      </c>
      <c r="AH48" s="0" t="n">
        <f aca="false">X48*24</f>
        <v>744</v>
      </c>
      <c r="AI48" s="0" t="n">
        <f aca="false">AB48*16</f>
        <v>368</v>
      </c>
      <c r="AJ48" s="0" t="n">
        <f aca="false">AB48*13</f>
        <v>299</v>
      </c>
      <c r="AK48" s="0" t="n">
        <f aca="false">AB48*14</f>
        <v>322</v>
      </c>
      <c r="AL48" s="0" t="n">
        <f aca="false">AB48*8</f>
        <v>184</v>
      </c>
      <c r="AM48" s="0" t="n">
        <f aca="false">AA48*24</f>
        <v>192</v>
      </c>
      <c r="AO48" s="68" t="n">
        <f aca="false">AI48/AH48</f>
        <v>0.494623655913979</v>
      </c>
      <c r="AP48" s="68" t="n">
        <f aca="false">AL48/AH48</f>
        <v>0.247311827956989</v>
      </c>
      <c r="AQ48" s="68" t="n">
        <f aca="false">1-(AO48+AP48)</f>
        <v>0.258064516129032</v>
      </c>
      <c r="AR48" s="48" t="n">
        <f aca="false">AQ48+AP48</f>
        <v>0.505376344086022</v>
      </c>
      <c r="BA48" s="68" t="n">
        <f aca="false">AK48/AD48</f>
        <v>0.432795698924731</v>
      </c>
      <c r="BB48" s="52" t="n">
        <f aca="false">A48</f>
        <v>37622</v>
      </c>
    </row>
    <row r="49" customFormat="false" ht="12.75" hidden="false" customHeight="false" outlineLevel="0" collapsed="false">
      <c r="A49" s="52" t="n">
        <v>37653</v>
      </c>
      <c r="B49" s="59" t="n">
        <v>29.5</v>
      </c>
      <c r="C49" s="59" t="n">
        <v>25.7142857142857</v>
      </c>
      <c r="D49" s="60" t="n">
        <v>29.5</v>
      </c>
      <c r="E49" s="60" t="n">
        <v>22.125</v>
      </c>
      <c r="F49" s="60" t="n">
        <f aca="false">((G49*AD49)-(B49*AE49))*(1/AF49)</f>
        <v>24.9166666666667</v>
      </c>
      <c r="G49" s="54" t="n">
        <f aca="false">((Z49*16*E49)+(B49*W49*16)+(X49*8*C49))/(X49*24)</f>
        <v>27.5357142857143</v>
      </c>
      <c r="H49" s="54" t="n">
        <f aca="false">(F49*AF49+B49*AE49)/AD49</f>
        <v>27.5357142857143</v>
      </c>
      <c r="I49" s="54" t="n">
        <f aca="false">B49*$C$5+F49*$C$6</f>
        <v>27.4833333333333</v>
      </c>
      <c r="K49" s="76" t="n">
        <v>3.73122375099662</v>
      </c>
      <c r="M49" s="71" t="n">
        <v>1.439981545698</v>
      </c>
      <c r="N49" s="71" t="n">
        <v>0.062472233719936</v>
      </c>
      <c r="O49" s="35" t="n">
        <f aca="false">1/((1+N49)^((A49-$B$2)/365))</f>
        <v>3.94918962000445</v>
      </c>
      <c r="P49" s="64"/>
      <c r="Q49" s="54" t="n">
        <f aca="false">M49*B49</f>
        <v>42.479455598091</v>
      </c>
      <c r="R49" s="54" t="n">
        <f aca="false">C49*M49</f>
        <v>37.0280968893771</v>
      </c>
      <c r="S49" s="54" t="n">
        <f aca="false">M49*G49</f>
        <v>39.6509204190414</v>
      </c>
      <c r="T49" s="54" t="n">
        <f aca="false">F49*M49</f>
        <v>35.8795401803085</v>
      </c>
      <c r="V49" s="56" t="n">
        <f aca="false">Z49+AC49</f>
        <v>4</v>
      </c>
      <c r="W49" s="56" t="n">
        <f aca="false">X49-V49</f>
        <v>24</v>
      </c>
      <c r="X49" s="56" t="n">
        <f aca="false">A50-A49</f>
        <v>28</v>
      </c>
      <c r="Y49" s="77" t="n">
        <v>4</v>
      </c>
      <c r="Z49" s="77" t="n">
        <v>4</v>
      </c>
      <c r="AA49" s="56" t="n">
        <f aca="false">Y49+Z49</f>
        <v>8</v>
      </c>
      <c r="AB49" s="56" t="n">
        <f aca="false">X49-AA49</f>
        <v>20</v>
      </c>
      <c r="AD49" s="0" t="n">
        <f aca="false">X49*24</f>
        <v>672</v>
      </c>
      <c r="AE49" s="0" t="n">
        <f aca="false">W49*16</f>
        <v>384</v>
      </c>
      <c r="AF49" s="0" t="n">
        <f aca="false">V49*24+W49*8</f>
        <v>288</v>
      </c>
      <c r="AH49" s="0" t="n">
        <f aca="false">X49*24</f>
        <v>672</v>
      </c>
      <c r="AI49" s="0" t="n">
        <f aca="false">AB49*16</f>
        <v>320</v>
      </c>
      <c r="AJ49" s="0" t="n">
        <f aca="false">AB49*13</f>
        <v>260</v>
      </c>
      <c r="AK49" s="0" t="n">
        <f aca="false">AB49*14</f>
        <v>280</v>
      </c>
      <c r="AL49" s="0" t="n">
        <f aca="false">AB49*8</f>
        <v>160</v>
      </c>
      <c r="AM49" s="0" t="n">
        <f aca="false">AA49*24</f>
        <v>192</v>
      </c>
      <c r="AO49" s="68" t="n">
        <f aca="false">AI49/AH49</f>
        <v>0.476190476190476</v>
      </c>
      <c r="AP49" s="68" t="n">
        <f aca="false">AL49/AH49</f>
        <v>0.238095238095238</v>
      </c>
      <c r="AQ49" s="68" t="n">
        <f aca="false">1-(AO49+AP49)</f>
        <v>0.285714285714286</v>
      </c>
      <c r="AR49" s="48" t="n">
        <f aca="false">AQ49+AP49</f>
        <v>0.523809523809524</v>
      </c>
      <c r="BA49" s="68" t="n">
        <f aca="false">AK49/AD49</f>
        <v>0.416666666666667</v>
      </c>
      <c r="BB49" s="52" t="n">
        <f aca="false">A49</f>
        <v>37653</v>
      </c>
    </row>
    <row r="50" customFormat="false" ht="12.75" hidden="false" customHeight="false" outlineLevel="0" collapsed="false">
      <c r="A50" s="52" t="n">
        <v>37681</v>
      </c>
      <c r="B50" s="59" t="n">
        <v>27.5</v>
      </c>
      <c r="C50" s="59" t="n">
        <v>23.6451612903226</v>
      </c>
      <c r="D50" s="60" t="n">
        <v>27.5</v>
      </c>
      <c r="E50" s="60" t="n">
        <v>20.625</v>
      </c>
      <c r="F50" s="60" t="n">
        <f aca="false">((G50*AD50)-(B50*AE50))*(1/AF50)</f>
        <v>22.9085365853659</v>
      </c>
      <c r="G50" s="54" t="n">
        <f aca="false">((Z50*16*E50)+(B50*W50*16)+(X50*8*C50))/(X50*24)</f>
        <v>25.4758064516129</v>
      </c>
      <c r="H50" s="54" t="n">
        <f aca="false">(F50*AF50+B50*AE50)/AD50</f>
        <v>25.4758064516129</v>
      </c>
      <c r="I50" s="54" t="n">
        <f aca="false">B50*$C$5+F50*$C$6</f>
        <v>25.479756097561</v>
      </c>
      <c r="K50" s="76" t="n">
        <v>3.54296987404453</v>
      </c>
      <c r="M50" s="71" t="n">
        <v>1.43895958001</v>
      </c>
      <c r="N50" s="71" t="n">
        <v>0.062483744662757</v>
      </c>
      <c r="O50" s="35" t="n">
        <f aca="false">1/((1+N50)^((A50-$B$2)/365))</f>
        <v>3.93183594379888</v>
      </c>
      <c r="P50" s="64"/>
      <c r="Q50" s="54" t="n">
        <f aca="false">M50*B50</f>
        <v>39.571388450275</v>
      </c>
      <c r="R50" s="54" t="n">
        <f aca="false">C50*M50</f>
        <v>34.0244313595913</v>
      </c>
      <c r="S50" s="54" t="n">
        <f aca="false">M50*G50</f>
        <v>36.658655752029</v>
      </c>
      <c r="T50" s="54" t="n">
        <f aca="false">F50*M50</f>
        <v>32.9644581835218</v>
      </c>
      <c r="V50" s="56" t="n">
        <f aca="false">Z50+AC50</f>
        <v>5</v>
      </c>
      <c r="W50" s="56" t="n">
        <f aca="false">X50-V50</f>
        <v>26</v>
      </c>
      <c r="X50" s="56" t="n">
        <f aca="false">A51-A50</f>
        <v>31</v>
      </c>
      <c r="Y50" s="77" t="n">
        <v>5</v>
      </c>
      <c r="Z50" s="77" t="n">
        <v>5</v>
      </c>
      <c r="AA50" s="56" t="n">
        <f aca="false">Y50+Z50</f>
        <v>10</v>
      </c>
      <c r="AB50" s="56" t="n">
        <f aca="false">X50-AA50</f>
        <v>21</v>
      </c>
      <c r="AD50" s="0" t="n">
        <f aca="false">X50*24</f>
        <v>744</v>
      </c>
      <c r="AE50" s="0" t="n">
        <f aca="false">W50*16</f>
        <v>416</v>
      </c>
      <c r="AF50" s="0" t="n">
        <f aca="false">V50*24+W50*8</f>
        <v>328</v>
      </c>
      <c r="AH50" s="0" t="n">
        <f aca="false">X50*24</f>
        <v>744</v>
      </c>
      <c r="AI50" s="0" t="n">
        <f aca="false">AB50*16</f>
        <v>336</v>
      </c>
      <c r="AJ50" s="0" t="n">
        <f aca="false">AB50*13</f>
        <v>273</v>
      </c>
      <c r="AK50" s="0" t="n">
        <f aca="false">AB50*14</f>
        <v>294</v>
      </c>
      <c r="AL50" s="0" t="n">
        <f aca="false">AB50*8</f>
        <v>168</v>
      </c>
      <c r="AM50" s="0" t="n">
        <f aca="false">AA50*24</f>
        <v>240</v>
      </c>
      <c r="AO50" s="68" t="n">
        <f aca="false">AI50/AH50</f>
        <v>0.451612903225806</v>
      </c>
      <c r="AP50" s="68" t="n">
        <f aca="false">AL50/AH50</f>
        <v>0.225806451612903</v>
      </c>
      <c r="AQ50" s="68" t="n">
        <f aca="false">1-(AO50+AP50)</f>
        <v>0.32258064516129</v>
      </c>
      <c r="AR50" s="48" t="n">
        <f aca="false">AQ50+AP50</f>
        <v>0.548387096774194</v>
      </c>
      <c r="BA50" s="68" t="n">
        <f aca="false">AK50/AD50</f>
        <v>0.395161290322581</v>
      </c>
      <c r="BB50" s="52" t="n">
        <f aca="false">A50</f>
        <v>37681</v>
      </c>
    </row>
    <row r="51" customFormat="false" ht="12.75" hidden="false" customHeight="false" outlineLevel="0" collapsed="false">
      <c r="A51" s="52" t="n">
        <v>37712</v>
      </c>
      <c r="B51" s="59" t="n">
        <v>27.25</v>
      </c>
      <c r="C51" s="59" t="n">
        <v>16.9042</v>
      </c>
      <c r="D51" s="60" t="n">
        <v>27.25</v>
      </c>
      <c r="E51" s="60" t="n">
        <v>20.4375</v>
      </c>
      <c r="F51" s="60" t="n">
        <f aca="false">((G51*AD51)-(B51*AE51))*(1/AF51)</f>
        <v>17.648052631579</v>
      </c>
      <c r="G51" s="54" t="n">
        <f aca="false">((Z51*16*E51)+(B51*W51*16)+(X51*8*C51))/(X51*24)</f>
        <v>23.1958444444444</v>
      </c>
      <c r="H51" s="54" t="n">
        <f aca="false">(F51*AF51+B51*AE51)/AD51</f>
        <v>23.1958444444444</v>
      </c>
      <c r="I51" s="54" t="n">
        <f aca="false">B51*$C$5+F51*$C$6</f>
        <v>23.0251431578947</v>
      </c>
      <c r="K51" s="76" t="n">
        <v>3.25192380899763</v>
      </c>
      <c r="M51" s="71" t="n">
        <v>1.437866540389</v>
      </c>
      <c r="N51" s="71" t="n">
        <v>0.062496488920932</v>
      </c>
      <c r="O51" s="35" t="n">
        <f aca="false">1/((1+N51)^((A51-$B$2)/365))</f>
        <v>3.91270428211901</v>
      </c>
      <c r="P51" s="64"/>
      <c r="Q51" s="54" t="n">
        <f aca="false">M51*B51</f>
        <v>39.1818632256003</v>
      </c>
      <c r="R51" s="54" t="n">
        <f aca="false">C51*M51</f>
        <v>24.3059835720437</v>
      </c>
      <c r="S51" s="54" t="n">
        <f aca="false">M51*G51</f>
        <v>33.3525286027347</v>
      </c>
      <c r="T51" s="54" t="n">
        <f aca="false">F51*M51</f>
        <v>25.3755443819714</v>
      </c>
      <c r="V51" s="56" t="n">
        <f aca="false">Z51+AC51</f>
        <v>4</v>
      </c>
      <c r="W51" s="56" t="n">
        <f aca="false">X51-V51</f>
        <v>26</v>
      </c>
      <c r="X51" s="56" t="n">
        <f aca="false">A52-A51</f>
        <v>30</v>
      </c>
      <c r="Y51" s="77" t="n">
        <v>4</v>
      </c>
      <c r="Z51" s="77" t="n">
        <v>4</v>
      </c>
      <c r="AA51" s="56" t="n">
        <f aca="false">Y51+Z51</f>
        <v>8</v>
      </c>
      <c r="AB51" s="56" t="n">
        <f aca="false">X51-AA51</f>
        <v>22</v>
      </c>
      <c r="AD51" s="0" t="n">
        <f aca="false">X51*24</f>
        <v>720</v>
      </c>
      <c r="AE51" s="0" t="n">
        <f aca="false">W51*16</f>
        <v>416</v>
      </c>
      <c r="AF51" s="0" t="n">
        <f aca="false">V51*24+W51*8</f>
        <v>304</v>
      </c>
      <c r="AH51" s="0" t="n">
        <f aca="false">X51*24</f>
        <v>720</v>
      </c>
      <c r="AI51" s="0" t="n">
        <f aca="false">AB51*16</f>
        <v>352</v>
      </c>
      <c r="AJ51" s="0" t="n">
        <f aca="false">AB51*13</f>
        <v>286</v>
      </c>
      <c r="AK51" s="0" t="n">
        <f aca="false">AB51*14</f>
        <v>308</v>
      </c>
      <c r="AL51" s="0" t="n">
        <f aca="false">AB51*8</f>
        <v>176</v>
      </c>
      <c r="AM51" s="0" t="n">
        <f aca="false">AA51*24</f>
        <v>192</v>
      </c>
      <c r="AO51" s="68" t="n">
        <f aca="false">AI51/AH51</f>
        <v>0.488888888888889</v>
      </c>
      <c r="AP51" s="68" t="n">
        <f aca="false">AL51/AH51</f>
        <v>0.244444444444444</v>
      </c>
      <c r="AQ51" s="68" t="n">
        <f aca="false">1-(AO51+AP51)</f>
        <v>0.266666666666667</v>
      </c>
      <c r="AR51" s="48" t="n">
        <f aca="false">AQ51+AP51</f>
        <v>0.511111111111111</v>
      </c>
      <c r="BA51" s="68" t="n">
        <f aca="false">AK51/AD51</f>
        <v>0.427777777777778</v>
      </c>
      <c r="BB51" s="52" t="n">
        <f aca="false">A51</f>
        <v>37712</v>
      </c>
    </row>
    <row r="52" customFormat="false" ht="12.75" hidden="false" customHeight="false" outlineLevel="0" collapsed="false">
      <c r="A52" s="52" t="n">
        <v>37742</v>
      </c>
      <c r="B52" s="59" t="n">
        <v>26.75</v>
      </c>
      <c r="C52" s="59" t="n">
        <v>9.56854838709677</v>
      </c>
      <c r="D52" s="60" t="n">
        <v>25.5</v>
      </c>
      <c r="E52" s="60" t="n">
        <v>19.125</v>
      </c>
      <c r="F52" s="60" t="n">
        <f aca="false">((G52*AD52)-(B52*AE52))*(1/AF52)</f>
        <v>10.9664634146341</v>
      </c>
      <c r="G52" s="54" t="n">
        <f aca="false">((Z52*16*E52)+(B52*W52*16)+(X52*8*C52))/(X52*24)</f>
        <v>19.7916666666667</v>
      </c>
      <c r="H52" s="54" t="n">
        <f aca="false">(F52*AF52+B52*AE52)/AD52</f>
        <v>19.7916666666667</v>
      </c>
      <c r="I52" s="54" t="n">
        <f aca="false">B52*$C$5+F52*$C$6</f>
        <v>19.805243902439</v>
      </c>
      <c r="K52" s="76" t="n">
        <v>3.21178306480556</v>
      </c>
      <c r="M52" s="71" t="n">
        <v>1.436861965363</v>
      </c>
      <c r="N52" s="71" t="n">
        <v>0.062508822074054</v>
      </c>
      <c r="O52" s="35" t="n">
        <f aca="false">1/((1+N52)^((A52-$B$2)/365))</f>
        <v>3.89427084438037</v>
      </c>
      <c r="P52" s="64"/>
      <c r="Q52" s="54" t="n">
        <f aca="false">M52*B52</f>
        <v>38.4360575734603</v>
      </c>
      <c r="R52" s="54" t="n">
        <f aca="false">C52*M52</f>
        <v>13.7486832411548</v>
      </c>
      <c r="S52" s="54" t="n">
        <f aca="false">M52*G52</f>
        <v>28.437893064476</v>
      </c>
      <c r="T52" s="54" t="n">
        <f aca="false">F52*M52</f>
        <v>15.7572941750327</v>
      </c>
      <c r="V52" s="56" t="n">
        <f aca="false">Z52+AC52</f>
        <v>5</v>
      </c>
      <c r="W52" s="56" t="n">
        <f aca="false">X52-V52</f>
        <v>26</v>
      </c>
      <c r="X52" s="56" t="n">
        <f aca="false">A53-A52</f>
        <v>31</v>
      </c>
      <c r="Y52" s="77" t="n">
        <v>5</v>
      </c>
      <c r="Z52" s="77" t="n">
        <v>4</v>
      </c>
      <c r="AA52" s="56" t="n">
        <f aca="false">Y52+Z52</f>
        <v>9</v>
      </c>
      <c r="AB52" s="56" t="n">
        <f aca="false">X52-AA52</f>
        <v>22</v>
      </c>
      <c r="AC52" s="0" t="n">
        <v>1</v>
      </c>
      <c r="AD52" s="0" t="n">
        <f aca="false">X52*24</f>
        <v>744</v>
      </c>
      <c r="AE52" s="0" t="n">
        <f aca="false">W52*16</f>
        <v>416</v>
      </c>
      <c r="AF52" s="0" t="n">
        <f aca="false">V52*24+W52*8</f>
        <v>328</v>
      </c>
      <c r="AH52" s="0" t="n">
        <f aca="false">X52*24</f>
        <v>744</v>
      </c>
      <c r="AI52" s="0" t="n">
        <f aca="false">AB52*16</f>
        <v>352</v>
      </c>
      <c r="AJ52" s="0" t="n">
        <f aca="false">AB52*13</f>
        <v>286</v>
      </c>
      <c r="AK52" s="0" t="n">
        <f aca="false">AB52*14</f>
        <v>308</v>
      </c>
      <c r="AL52" s="0" t="n">
        <f aca="false">AB52*8</f>
        <v>176</v>
      </c>
      <c r="AM52" s="0" t="n">
        <f aca="false">AA52*24</f>
        <v>216</v>
      </c>
      <c r="AO52" s="68" t="n">
        <f aca="false">AI52/AH52</f>
        <v>0.473118279569893</v>
      </c>
      <c r="AP52" s="68" t="n">
        <f aca="false">AL52/AH52</f>
        <v>0.236559139784946</v>
      </c>
      <c r="AQ52" s="68" t="n">
        <f aca="false">1-(AO52+AP52)</f>
        <v>0.290322580645161</v>
      </c>
      <c r="AR52" s="48" t="n">
        <f aca="false">AQ52+AP52</f>
        <v>0.526881720430108</v>
      </c>
      <c r="BA52" s="68" t="n">
        <f aca="false">AK52/AD52</f>
        <v>0.413978494623656</v>
      </c>
      <c r="BB52" s="52" t="n">
        <f aca="false">A52</f>
        <v>37742</v>
      </c>
    </row>
    <row r="53" customFormat="false" ht="12.75" hidden="false" customHeight="false" outlineLevel="0" collapsed="false">
      <c r="A53" s="52" t="n">
        <v>37773</v>
      </c>
      <c r="B53" s="59" t="n">
        <v>27.75</v>
      </c>
      <c r="C53" s="59" t="n">
        <v>9.2</v>
      </c>
      <c r="D53" s="60" t="n">
        <v>26.5</v>
      </c>
      <c r="E53" s="60" t="n">
        <v>19.875</v>
      </c>
      <c r="F53" s="60" t="n">
        <f aca="false">((G53*AD53)-(B53*AE53))*(1/AF53)</f>
        <v>11.86875</v>
      </c>
      <c r="G53" s="54" t="n">
        <f aca="false">((Z53*16*E53)+(B53*W53*16)+(X53*8*C53))/(X53*24)</f>
        <v>20.6916666666667</v>
      </c>
      <c r="H53" s="54" t="n">
        <f aca="false">(F53*AF53+B53*AE53)/AD53</f>
        <v>20.6916666666667</v>
      </c>
      <c r="I53" s="54" t="n">
        <f aca="false">B53*$C$5+F53*$C$6</f>
        <v>20.76225</v>
      </c>
      <c r="K53" s="76" t="n">
        <v>3.21355077344271</v>
      </c>
      <c r="M53" s="71" t="n">
        <v>1.43583075832</v>
      </c>
      <c r="N53" s="71" t="n">
        <v>0.062521566332335</v>
      </c>
      <c r="O53" s="35" t="n">
        <f aca="false">1/((1+N53)^((A53-$B$2)/365))</f>
        <v>3.8753064069222</v>
      </c>
      <c r="P53" s="64"/>
      <c r="Q53" s="54" t="n">
        <f aca="false">M53*B53</f>
        <v>39.84430354338</v>
      </c>
      <c r="R53" s="54" t="n">
        <f aca="false">C53*M53</f>
        <v>13.209642976544</v>
      </c>
      <c r="S53" s="54" t="n">
        <f aca="false">M53*G53</f>
        <v>29.7097314409047</v>
      </c>
      <c r="T53" s="54" t="n">
        <f aca="false">F53*M53</f>
        <v>17.0415163128105</v>
      </c>
      <c r="V53" s="56" t="n">
        <f aca="false">Z53+AC53</f>
        <v>5</v>
      </c>
      <c r="W53" s="56" t="n">
        <f aca="false">X53-V53</f>
        <v>25</v>
      </c>
      <c r="X53" s="56" t="n">
        <f aca="false">A54-A53</f>
        <v>30</v>
      </c>
      <c r="Y53" s="77" t="n">
        <v>4</v>
      </c>
      <c r="Z53" s="77" t="n">
        <v>5</v>
      </c>
      <c r="AA53" s="56" t="n">
        <f aca="false">Y53+Z53</f>
        <v>9</v>
      </c>
      <c r="AB53" s="56" t="n">
        <f aca="false">X53-AA53</f>
        <v>21</v>
      </c>
      <c r="AD53" s="0" t="n">
        <f aca="false">X53*24</f>
        <v>720</v>
      </c>
      <c r="AE53" s="0" t="n">
        <f aca="false">W53*16</f>
        <v>400</v>
      </c>
      <c r="AF53" s="0" t="n">
        <f aca="false">V53*24+W53*8</f>
        <v>320</v>
      </c>
      <c r="AH53" s="0" t="n">
        <f aca="false">X53*24</f>
        <v>720</v>
      </c>
      <c r="AI53" s="0" t="n">
        <f aca="false">AB53*16</f>
        <v>336</v>
      </c>
      <c r="AJ53" s="0" t="n">
        <f aca="false">AB53*13</f>
        <v>273</v>
      </c>
      <c r="AK53" s="0" t="n">
        <f aca="false">AB53*14</f>
        <v>294</v>
      </c>
      <c r="AL53" s="0" t="n">
        <f aca="false">AB53*8</f>
        <v>168</v>
      </c>
      <c r="AM53" s="0" t="n">
        <f aca="false">AA53*24</f>
        <v>216</v>
      </c>
      <c r="AO53" s="68" t="n">
        <f aca="false">AI53/AH53</f>
        <v>0.466666666666667</v>
      </c>
      <c r="AP53" s="68" t="n">
        <f aca="false">AL53/AH53</f>
        <v>0.233333333333333</v>
      </c>
      <c r="AQ53" s="68" t="n">
        <f aca="false">1-(AO53+AP53)</f>
        <v>0.3</v>
      </c>
      <c r="AR53" s="48" t="n">
        <f aca="false">AQ53+AP53</f>
        <v>0.533333333333333</v>
      </c>
      <c r="BA53" s="68" t="n">
        <f aca="false">AK53/AD53</f>
        <v>0.408333333333333</v>
      </c>
      <c r="BB53" s="52" t="n">
        <f aca="false">A53</f>
        <v>37773</v>
      </c>
    </row>
    <row r="54" customFormat="false" ht="12.75" hidden="false" customHeight="false" outlineLevel="0" collapsed="false">
      <c r="A54" s="52" t="n">
        <v>37803</v>
      </c>
      <c r="B54" s="59" t="n">
        <v>55.975</v>
      </c>
      <c r="C54" s="59" t="n">
        <v>18.4596774193548</v>
      </c>
      <c r="D54" s="60" t="n">
        <v>54.8875</v>
      </c>
      <c r="E54" s="60" t="n">
        <v>41.165625</v>
      </c>
      <c r="F54" s="60" t="n">
        <f aca="false">((G54*AD54)-(B54*AE54))*(1/AF54)</f>
        <v>21.9896341463415</v>
      </c>
      <c r="G54" s="54" t="n">
        <f aca="false">((Z54*16*E54)+(B54*W54*16)+(X54*8*C54))/(X54*24)</f>
        <v>40.9922043010753</v>
      </c>
      <c r="H54" s="54" t="n">
        <f aca="false">(F54*AF54+B54*AE54)/AD54</f>
        <v>40.9922043010753</v>
      </c>
      <c r="I54" s="54" t="n">
        <f aca="false">B54*$C$5+F54*$C$6</f>
        <v>41.0214390243903</v>
      </c>
      <c r="K54" s="76" t="n">
        <v>3.34640484475145</v>
      </c>
      <c r="M54" s="71" t="n">
        <v>1.434822127311</v>
      </c>
      <c r="N54" s="71" t="n">
        <v>0.062530873770802</v>
      </c>
      <c r="O54" s="35" t="n">
        <f aca="false">1/((1+N54)^((A54-$B$2)/365))</f>
        <v>3.85678974210756</v>
      </c>
      <c r="P54" s="64"/>
      <c r="Q54" s="54" t="n">
        <f aca="false">M54*B54</f>
        <v>80.3141685762333</v>
      </c>
      <c r="R54" s="54" t="n">
        <f aca="false">C54*M54</f>
        <v>26.4863536243136</v>
      </c>
      <c r="S54" s="54" t="n">
        <f aca="false">M54*G54</f>
        <v>58.816521778436</v>
      </c>
      <c r="T54" s="54" t="n">
        <f aca="false">F54*M54</f>
        <v>31.5512136446443</v>
      </c>
      <c r="V54" s="56" t="n">
        <f aca="false">Z54+AC54</f>
        <v>5</v>
      </c>
      <c r="W54" s="56" t="n">
        <f aca="false">X54-V54</f>
        <v>26</v>
      </c>
      <c r="X54" s="56" t="n">
        <f aca="false">A55-A54</f>
        <v>31</v>
      </c>
      <c r="Y54" s="77" t="n">
        <v>4</v>
      </c>
      <c r="Z54" s="77" t="n">
        <v>4</v>
      </c>
      <c r="AA54" s="56" t="n">
        <f aca="false">Y54+Z54</f>
        <v>8</v>
      </c>
      <c r="AB54" s="56" t="n">
        <f aca="false">X54-AA54</f>
        <v>23</v>
      </c>
      <c r="AC54" s="0" t="n">
        <v>1</v>
      </c>
      <c r="AD54" s="0" t="n">
        <f aca="false">X54*24</f>
        <v>744</v>
      </c>
      <c r="AE54" s="0" t="n">
        <f aca="false">W54*16</f>
        <v>416</v>
      </c>
      <c r="AF54" s="0" t="n">
        <f aca="false">V54*24+W54*8</f>
        <v>328</v>
      </c>
      <c r="AH54" s="0" t="n">
        <f aca="false">X54*24</f>
        <v>744</v>
      </c>
      <c r="AI54" s="0" t="n">
        <f aca="false">AB54*16</f>
        <v>368</v>
      </c>
      <c r="AJ54" s="0" t="n">
        <f aca="false">AB54*13</f>
        <v>299</v>
      </c>
      <c r="AK54" s="0" t="n">
        <f aca="false">AB54*14</f>
        <v>322</v>
      </c>
      <c r="AL54" s="0" t="n">
        <f aca="false">AB54*8</f>
        <v>184</v>
      </c>
      <c r="AM54" s="0" t="n">
        <f aca="false">AA54*24</f>
        <v>192</v>
      </c>
      <c r="AO54" s="68" t="n">
        <f aca="false">AI54/AH54</f>
        <v>0.494623655913979</v>
      </c>
      <c r="AP54" s="68" t="n">
        <f aca="false">AL54/AH54</f>
        <v>0.247311827956989</v>
      </c>
      <c r="AQ54" s="68" t="n">
        <f aca="false">1-(AO54+AP54)</f>
        <v>0.258064516129032</v>
      </c>
      <c r="AR54" s="48" t="n">
        <f aca="false">AQ54+AP54</f>
        <v>0.505376344086022</v>
      </c>
      <c r="BA54" s="68" t="n">
        <f aca="false">AK54/AD54</f>
        <v>0.432795698924731</v>
      </c>
      <c r="BB54" s="52" t="n">
        <f aca="false">A54</f>
        <v>37803</v>
      </c>
    </row>
    <row r="55" customFormat="false" ht="12.75" hidden="false" customHeight="false" outlineLevel="0" collapsed="false">
      <c r="A55" s="52" t="n">
        <v>37834</v>
      </c>
      <c r="B55" s="59" t="n">
        <v>69.475</v>
      </c>
      <c r="C55" s="59" t="n">
        <v>26.75</v>
      </c>
      <c r="D55" s="60" t="n">
        <v>68.3875</v>
      </c>
      <c r="E55" s="60" t="n">
        <v>51.290625</v>
      </c>
      <c r="F55" s="60" t="n">
        <f aca="false">((G55*AD55)-(B55*AE55))*(1/AF55)</f>
        <v>32.7355182926829</v>
      </c>
      <c r="G55" s="54" t="n">
        <f aca="false">((Z55*16*E55)+(B55*W55*16)+(X55*8*C55))/(X55*24)</f>
        <v>53.2780241935484</v>
      </c>
      <c r="H55" s="54" t="n">
        <f aca="false">(F55*AF55+B55*AE55)/AD55</f>
        <v>53.2780241935484</v>
      </c>
      <c r="I55" s="54" t="n">
        <f aca="false">B55*$C$5+F55*$C$6</f>
        <v>53.3096280487805</v>
      </c>
      <c r="K55" s="76" t="n">
        <v>3.33987810660683</v>
      </c>
      <c r="M55" s="71" t="n">
        <v>1.433765502773</v>
      </c>
      <c r="N55" s="71" t="n">
        <v>0.062537364885324</v>
      </c>
      <c r="O55" s="35" t="n">
        <f aca="false">1/((1+N55)^((A55-$B$2)/365))</f>
        <v>3.83749263503742</v>
      </c>
      <c r="P55" s="64"/>
      <c r="Q55" s="54" t="n">
        <f aca="false">M55*B55</f>
        <v>99.6108583051542</v>
      </c>
      <c r="R55" s="54" t="n">
        <f aca="false">C55*M55</f>
        <v>38.3532271991778</v>
      </c>
      <c r="S55" s="54" t="n">
        <f aca="false">M55*G55</f>
        <v>76.388193144615</v>
      </c>
      <c r="T55" s="54" t="n">
        <f aca="false">F55*M55</f>
        <v>46.9350568434433</v>
      </c>
      <c r="V55" s="56" t="n">
        <f aca="false">Z55+AC55</f>
        <v>5</v>
      </c>
      <c r="W55" s="56" t="n">
        <f aca="false">X55-V55</f>
        <v>26</v>
      </c>
      <c r="X55" s="56" t="n">
        <f aca="false">A56-A55</f>
        <v>31</v>
      </c>
      <c r="Y55" s="77" t="n">
        <v>5</v>
      </c>
      <c r="Z55" s="77" t="n">
        <v>5</v>
      </c>
      <c r="AA55" s="56" t="n">
        <f aca="false">Y55+Z55</f>
        <v>10</v>
      </c>
      <c r="AB55" s="56" t="n">
        <f aca="false">X55-AA55</f>
        <v>21</v>
      </c>
      <c r="AD55" s="0" t="n">
        <f aca="false">X55*24</f>
        <v>744</v>
      </c>
      <c r="AE55" s="0" t="n">
        <f aca="false">W55*16</f>
        <v>416</v>
      </c>
      <c r="AF55" s="0" t="n">
        <f aca="false">V55*24+W55*8</f>
        <v>328</v>
      </c>
      <c r="AH55" s="0" t="n">
        <f aca="false">X55*24</f>
        <v>744</v>
      </c>
      <c r="AI55" s="0" t="n">
        <f aca="false">AB55*16</f>
        <v>336</v>
      </c>
      <c r="AJ55" s="0" t="n">
        <f aca="false">AB55*13</f>
        <v>273</v>
      </c>
      <c r="AK55" s="0" t="n">
        <f aca="false">AB55*14</f>
        <v>294</v>
      </c>
      <c r="AL55" s="0" t="n">
        <f aca="false">AB55*8</f>
        <v>168</v>
      </c>
      <c r="AM55" s="0" t="n">
        <f aca="false">AA55*24</f>
        <v>240</v>
      </c>
      <c r="AO55" s="68" t="n">
        <f aca="false">AI55/AH55</f>
        <v>0.451612903225806</v>
      </c>
      <c r="AP55" s="68" t="n">
        <f aca="false">AL55/AH55</f>
        <v>0.225806451612903</v>
      </c>
      <c r="AQ55" s="68" t="n">
        <f aca="false">1-(AO55+AP55)</f>
        <v>0.32258064516129</v>
      </c>
      <c r="AR55" s="48" t="n">
        <f aca="false">AQ55+AP55</f>
        <v>0.548387096774194</v>
      </c>
      <c r="BA55" s="68" t="n">
        <f aca="false">AK55/AD55</f>
        <v>0.395161290322581</v>
      </c>
      <c r="BB55" s="52" t="n">
        <f aca="false">A55</f>
        <v>37834</v>
      </c>
    </row>
    <row r="56" customFormat="false" ht="12.75" hidden="false" customHeight="false" outlineLevel="0" collapsed="false">
      <c r="A56" s="52" t="n">
        <v>37865</v>
      </c>
      <c r="B56" s="59" t="n">
        <v>58</v>
      </c>
      <c r="C56" s="59" t="n">
        <v>27.5</v>
      </c>
      <c r="D56" s="60" t="n">
        <v>55.75</v>
      </c>
      <c r="E56" s="60" t="n">
        <v>41.8125</v>
      </c>
      <c r="F56" s="60" t="n">
        <f aca="false">((G56*AD56)-(B56*AE56))*(1/AF56)</f>
        <v>28.9875</v>
      </c>
      <c r="G56" s="54" t="n">
        <f aca="false">((Z56*16*E56)+(B56*W56*16)+(X56*8*C56))/(X56*24)</f>
        <v>45.1055555555556</v>
      </c>
      <c r="H56" s="54" t="n">
        <f aca="false">(F56*AF56+B56*AE56)/AD56</f>
        <v>45.1055555555556</v>
      </c>
      <c r="I56" s="54" t="n">
        <f aca="false">B56*$C$5+F56*$C$6</f>
        <v>45.2345</v>
      </c>
      <c r="K56" s="76" t="n">
        <v>3.31718317546012</v>
      </c>
      <c r="M56" s="71" t="n">
        <v>1.432713764905</v>
      </c>
      <c r="N56" s="71" t="n">
        <v>0.06254385599986</v>
      </c>
      <c r="O56" s="35" t="n">
        <f aca="false">1/((1+N56)^((A56-$B$2)/365))</f>
        <v>3.81828811392269</v>
      </c>
      <c r="P56" s="64"/>
      <c r="Q56" s="54" t="n">
        <f aca="false">M56*B56</f>
        <v>83.09739836449</v>
      </c>
      <c r="R56" s="54" t="n">
        <f aca="false">C56*M56</f>
        <v>39.3996285348875</v>
      </c>
      <c r="S56" s="54" t="n">
        <f aca="false">M56*G56</f>
        <v>64.6233503181316</v>
      </c>
      <c r="T56" s="54" t="n">
        <f aca="false">F56*M56</f>
        <v>41.5307902601837</v>
      </c>
      <c r="V56" s="56" t="n">
        <f aca="false">Z56+AC56</f>
        <v>5</v>
      </c>
      <c r="W56" s="56" t="n">
        <f aca="false">X56-V56</f>
        <v>25</v>
      </c>
      <c r="X56" s="56" t="n">
        <f aca="false">A57-A56</f>
        <v>30</v>
      </c>
      <c r="Y56" s="77" t="n">
        <v>4</v>
      </c>
      <c r="Z56" s="77" t="n">
        <v>4</v>
      </c>
      <c r="AA56" s="56" t="n">
        <f aca="false">Y56+Z56</f>
        <v>8</v>
      </c>
      <c r="AB56" s="56" t="n">
        <f aca="false">X56-AA56</f>
        <v>22</v>
      </c>
      <c r="AC56" s="0" t="n">
        <v>1</v>
      </c>
      <c r="AD56" s="0" t="n">
        <f aca="false">X56*24</f>
        <v>720</v>
      </c>
      <c r="AE56" s="0" t="n">
        <f aca="false">W56*16</f>
        <v>400</v>
      </c>
      <c r="AF56" s="0" t="n">
        <f aca="false">V56*24+W56*8</f>
        <v>320</v>
      </c>
      <c r="AH56" s="0" t="n">
        <f aca="false">X56*24</f>
        <v>720</v>
      </c>
      <c r="AI56" s="0" t="n">
        <f aca="false">AB56*16</f>
        <v>352</v>
      </c>
      <c r="AJ56" s="0" t="n">
        <f aca="false">AB56*13</f>
        <v>286</v>
      </c>
      <c r="AK56" s="0" t="n">
        <f aca="false">AB56*14</f>
        <v>308</v>
      </c>
      <c r="AL56" s="0" t="n">
        <f aca="false">AB56*8</f>
        <v>176</v>
      </c>
      <c r="AM56" s="0" t="n">
        <f aca="false">AA56*24</f>
        <v>192</v>
      </c>
      <c r="AO56" s="68" t="n">
        <f aca="false">AI56/AH56</f>
        <v>0.488888888888889</v>
      </c>
      <c r="AP56" s="68" t="n">
        <f aca="false">AL56/AH56</f>
        <v>0.244444444444444</v>
      </c>
      <c r="AQ56" s="68" t="n">
        <f aca="false">1-(AO56+AP56)</f>
        <v>0.266666666666667</v>
      </c>
      <c r="AR56" s="48" t="n">
        <f aca="false">AQ56+AP56</f>
        <v>0.511111111111111</v>
      </c>
      <c r="BA56" s="68" t="n">
        <f aca="false">AK56/AD56</f>
        <v>0.427777777777778</v>
      </c>
      <c r="BB56" s="52" t="n">
        <f aca="false">A56</f>
        <v>37865</v>
      </c>
    </row>
    <row r="57" customFormat="false" ht="12.75" hidden="false" customHeight="false" outlineLevel="0" collapsed="false">
      <c r="A57" s="52" t="n">
        <v>37895</v>
      </c>
      <c r="B57" s="59" t="n">
        <v>42.25</v>
      </c>
      <c r="C57" s="59" t="n">
        <v>27.8629032258065</v>
      </c>
      <c r="D57" s="60" t="n">
        <v>41</v>
      </c>
      <c r="E57" s="60" t="n">
        <v>30.75</v>
      </c>
      <c r="F57" s="60" t="n">
        <f aca="false">((G57*AD57)-(B57*AE57))*(1/AF57)</f>
        <v>28.4551282051282</v>
      </c>
      <c r="G57" s="54" t="n">
        <f aca="false">((Z57*16*E57)+(B57*W57*16)+(X57*8*C57))/(X57*24)</f>
        <v>36.4650537634409</v>
      </c>
      <c r="H57" s="54" t="n">
        <f aca="false">(F57*AF57+B57*AE57)/AD57</f>
        <v>36.4650537634409</v>
      </c>
      <c r="I57" s="54" t="n">
        <f aca="false">B57*$C$5+F57*$C$6</f>
        <v>36.1802564102564</v>
      </c>
      <c r="K57" s="76" t="n">
        <v>3.33773224324718</v>
      </c>
      <c r="M57" s="71" t="n">
        <v>1.431698165171</v>
      </c>
      <c r="N57" s="71" t="n">
        <v>0.062550137723619</v>
      </c>
      <c r="O57" s="35" t="n">
        <f aca="false">1/((1+N57)^((A57-$B$2)/365))</f>
        <v>3.79979084872905</v>
      </c>
      <c r="P57" s="64"/>
      <c r="Q57" s="54" t="n">
        <f aca="false">M57*B57</f>
        <v>60.4892474784748</v>
      </c>
      <c r="R57" s="54" t="n">
        <f aca="false">C57*M57</f>
        <v>39.8912674247242</v>
      </c>
      <c r="S57" s="54" t="n">
        <f aca="false">M57*G57</f>
        <v>52.2069505659802</v>
      </c>
      <c r="T57" s="54" t="n">
        <f aca="false">F57*M57</f>
        <v>40.7391548409876</v>
      </c>
      <c r="V57" s="56" t="n">
        <f aca="false">Z57+AC57</f>
        <v>4</v>
      </c>
      <c r="W57" s="56" t="n">
        <f aca="false">X57-V57</f>
        <v>27</v>
      </c>
      <c r="X57" s="56" t="n">
        <f aca="false">A58-A57</f>
        <v>31</v>
      </c>
      <c r="Y57" s="77" t="n">
        <v>4</v>
      </c>
      <c r="Z57" s="77" t="n">
        <v>4</v>
      </c>
      <c r="AA57" s="56" t="n">
        <f aca="false">Y57+Z57</f>
        <v>8</v>
      </c>
      <c r="AB57" s="56" t="n">
        <f aca="false">X57-AA57</f>
        <v>23</v>
      </c>
      <c r="AD57" s="0" t="n">
        <f aca="false">X57*24</f>
        <v>744</v>
      </c>
      <c r="AE57" s="0" t="n">
        <f aca="false">W57*16</f>
        <v>432</v>
      </c>
      <c r="AF57" s="0" t="n">
        <f aca="false">V57*24+W57*8</f>
        <v>312</v>
      </c>
      <c r="AH57" s="0" t="n">
        <f aca="false">X57*24</f>
        <v>744</v>
      </c>
      <c r="AI57" s="0" t="n">
        <f aca="false">AB57*16</f>
        <v>368</v>
      </c>
      <c r="AJ57" s="0" t="n">
        <f aca="false">AB57*13</f>
        <v>299</v>
      </c>
      <c r="AK57" s="0" t="n">
        <f aca="false">AB57*14</f>
        <v>322</v>
      </c>
      <c r="AL57" s="0" t="n">
        <f aca="false">AB57*8</f>
        <v>184</v>
      </c>
      <c r="AM57" s="0" t="n">
        <f aca="false">AA57*24</f>
        <v>192</v>
      </c>
      <c r="AO57" s="68" t="n">
        <f aca="false">AI57/AH57</f>
        <v>0.494623655913979</v>
      </c>
      <c r="AP57" s="68" t="n">
        <f aca="false">AL57/AH57</f>
        <v>0.247311827956989</v>
      </c>
      <c r="AQ57" s="68" t="n">
        <f aca="false">1-(AO57+AP57)</f>
        <v>0.258064516129032</v>
      </c>
      <c r="AR57" s="48" t="n">
        <f aca="false">AQ57+AP57</f>
        <v>0.505376344086022</v>
      </c>
      <c r="BA57" s="68" t="n">
        <f aca="false">AK57/AD57</f>
        <v>0.432795698924731</v>
      </c>
      <c r="BB57" s="52" t="n">
        <f aca="false">A57</f>
        <v>37895</v>
      </c>
    </row>
    <row r="58" customFormat="false" ht="12.75" hidden="false" customHeight="false" outlineLevel="0" collapsed="false">
      <c r="A58" s="52" t="n">
        <v>37926</v>
      </c>
      <c r="B58" s="59" t="n">
        <v>38.25</v>
      </c>
      <c r="C58" s="59" t="n">
        <v>27.9375</v>
      </c>
      <c r="D58" s="60" t="n">
        <v>37</v>
      </c>
      <c r="E58" s="60" t="n">
        <v>27.75</v>
      </c>
      <c r="F58" s="60" t="n">
        <f aca="false">((G58*AD58)-(B58*AE58))*(1/AF58)</f>
        <v>26.5625</v>
      </c>
      <c r="G58" s="54" t="n">
        <f aca="false">((Z58*16*E58)+(B58*W58*16)+(X58*8*C58))/(X58*24)</f>
        <v>32.7958333333333</v>
      </c>
      <c r="H58" s="54" t="n">
        <f aca="false">(F58*AF58+B58*AE58)/AD58</f>
        <v>32.7958333333333</v>
      </c>
      <c r="I58" s="54" t="n">
        <f aca="false">B58*$C$5+F58*$C$6</f>
        <v>33.1075</v>
      </c>
      <c r="K58" s="76" t="n">
        <v>3.44841417775041</v>
      </c>
      <c r="M58" s="71" t="n">
        <v>1.430650244447</v>
      </c>
      <c r="N58" s="71" t="n">
        <v>0.062556628838183</v>
      </c>
      <c r="O58" s="35" t="n">
        <f aca="false">1/((1+N58)^((A58-$B$2)/365))</f>
        <v>3.78076727799391</v>
      </c>
      <c r="P58" s="64"/>
      <c r="Q58" s="54" t="n">
        <f aca="false">M58*B58</f>
        <v>54.7223718500978</v>
      </c>
      <c r="R58" s="54" t="n">
        <f aca="false">C58*M58</f>
        <v>39.9687912042381</v>
      </c>
      <c r="S58" s="54" t="n">
        <f aca="false">M58*G58</f>
        <v>46.9193669751764</v>
      </c>
      <c r="T58" s="54" t="n">
        <f aca="false">F58*M58</f>
        <v>38.0016471181234</v>
      </c>
      <c r="V58" s="56" t="n">
        <f aca="false">Z58+AC58</f>
        <v>6</v>
      </c>
      <c r="W58" s="56" t="n">
        <f aca="false">X58-V58</f>
        <v>24</v>
      </c>
      <c r="X58" s="56" t="n">
        <f aca="false">A59-A58</f>
        <v>30</v>
      </c>
      <c r="Y58" s="77" t="n">
        <v>5</v>
      </c>
      <c r="Z58" s="77" t="n">
        <v>5</v>
      </c>
      <c r="AA58" s="56" t="n">
        <f aca="false">Y58+Z58</f>
        <v>10</v>
      </c>
      <c r="AB58" s="56" t="n">
        <f aca="false">X58-AA58</f>
        <v>20</v>
      </c>
      <c r="AC58" s="0" t="n">
        <v>1</v>
      </c>
      <c r="AD58" s="0" t="n">
        <f aca="false">X58*24</f>
        <v>720</v>
      </c>
      <c r="AE58" s="0" t="n">
        <f aca="false">W58*16</f>
        <v>384</v>
      </c>
      <c r="AF58" s="0" t="n">
        <f aca="false">V58*24+W58*8</f>
        <v>336</v>
      </c>
      <c r="AH58" s="0" t="n">
        <f aca="false">X58*24</f>
        <v>720</v>
      </c>
      <c r="AI58" s="0" t="n">
        <f aca="false">AB58*16</f>
        <v>320</v>
      </c>
      <c r="AJ58" s="0" t="n">
        <f aca="false">AB58*13</f>
        <v>260</v>
      </c>
      <c r="AK58" s="0" t="n">
        <f aca="false">AB58*14</f>
        <v>280</v>
      </c>
      <c r="AL58" s="0" t="n">
        <f aca="false">AB58*8</f>
        <v>160</v>
      </c>
      <c r="AM58" s="0" t="n">
        <f aca="false">AA58*24</f>
        <v>240</v>
      </c>
      <c r="AO58" s="68" t="n">
        <f aca="false">AI58/AH58</f>
        <v>0.444444444444444</v>
      </c>
      <c r="AP58" s="68" t="n">
        <f aca="false">AL58/AH58</f>
        <v>0.222222222222222</v>
      </c>
      <c r="AQ58" s="68" t="n">
        <f aca="false">1-(AO58+AP58)</f>
        <v>0.333333333333333</v>
      </c>
      <c r="AR58" s="48" t="n">
        <f aca="false">AQ58+AP58</f>
        <v>0.555555555555556</v>
      </c>
      <c r="BA58" s="68" t="n">
        <f aca="false">AK58/AD58</f>
        <v>0.388888888888889</v>
      </c>
      <c r="BB58" s="52" t="n">
        <f aca="false">A58</f>
        <v>37926</v>
      </c>
    </row>
    <row r="59" customFormat="false" ht="12.75" hidden="false" customHeight="false" outlineLevel="0" collapsed="false">
      <c r="A59" s="52" t="n">
        <v>37956</v>
      </c>
      <c r="B59" s="59" t="n">
        <v>38.25</v>
      </c>
      <c r="C59" s="59" t="n">
        <v>25.1129032258065</v>
      </c>
      <c r="D59" s="60" t="n">
        <v>37</v>
      </c>
      <c r="E59" s="60" t="n">
        <v>27.75</v>
      </c>
      <c r="F59" s="60" t="n">
        <f aca="false">((G59*AD59)-(B59*AE59))*(1/AF59)</f>
        <v>24.4024390243903</v>
      </c>
      <c r="G59" s="54" t="n">
        <f aca="false">((Z59*16*E59)+(B59*W59*16)+(X59*8*C59))/(X59*24)</f>
        <v>32.1451612903226</v>
      </c>
      <c r="H59" s="54" t="n">
        <f aca="false">(F59*AF59+B59*AE59)/AD59</f>
        <v>32.1451612903226</v>
      </c>
      <c r="I59" s="54" t="n">
        <f aca="false">B59*$C$5+F59*$C$6</f>
        <v>32.1570731707317</v>
      </c>
      <c r="K59" s="76" t="n">
        <v>3.58190918920032</v>
      </c>
      <c r="M59" s="71" t="n">
        <v>1.429640488463</v>
      </c>
      <c r="N59" s="71" t="n">
        <v>0.062562910561967</v>
      </c>
      <c r="O59" s="35" t="n">
        <f aca="false">1/((1+N59)^((A59-$B$2)/365))</f>
        <v>3.76244433764307</v>
      </c>
      <c r="P59" s="64"/>
      <c r="Q59" s="54" t="n">
        <f aca="false">M59*B59</f>
        <v>54.6837486837098</v>
      </c>
      <c r="R59" s="54" t="n">
        <f aca="false">C59*M59</f>
        <v>35.902423234466</v>
      </c>
      <c r="S59" s="54" t="n">
        <f aca="false">M59*G59</f>
        <v>45.9560240888187</v>
      </c>
      <c r="T59" s="54" t="n">
        <f aca="false">F59*M59</f>
        <v>34.8867148465179</v>
      </c>
      <c r="V59" s="56" t="n">
        <f aca="false">Z59+AC59</f>
        <v>5</v>
      </c>
      <c r="W59" s="56" t="n">
        <f aca="false">X59-V59</f>
        <v>26</v>
      </c>
      <c r="X59" s="56" t="n">
        <f aca="false">A60-A59</f>
        <v>31</v>
      </c>
      <c r="Y59" s="77" t="n">
        <v>4</v>
      </c>
      <c r="Z59" s="77" t="n">
        <v>4</v>
      </c>
      <c r="AA59" s="56" t="n">
        <f aca="false">Y59+Z59</f>
        <v>8</v>
      </c>
      <c r="AB59" s="56" t="n">
        <f aca="false">X59-AA59</f>
        <v>23</v>
      </c>
      <c r="AC59" s="0" t="n">
        <v>1</v>
      </c>
      <c r="AD59" s="0" t="n">
        <f aca="false">X59*24</f>
        <v>744</v>
      </c>
      <c r="AE59" s="0" t="n">
        <f aca="false">W59*16</f>
        <v>416</v>
      </c>
      <c r="AF59" s="0" t="n">
        <f aca="false">V59*24+W59*8</f>
        <v>328</v>
      </c>
      <c r="AH59" s="0" t="n">
        <f aca="false">X59*24</f>
        <v>744</v>
      </c>
      <c r="AI59" s="0" t="n">
        <f aca="false">AB59*16</f>
        <v>368</v>
      </c>
      <c r="AJ59" s="0" t="n">
        <f aca="false">AB59*13</f>
        <v>299</v>
      </c>
      <c r="AK59" s="0" t="n">
        <f aca="false">AB59*14</f>
        <v>322</v>
      </c>
      <c r="AL59" s="0" t="n">
        <f aca="false">AB59*8</f>
        <v>184</v>
      </c>
      <c r="AM59" s="0" t="n">
        <f aca="false">AA59*24</f>
        <v>192</v>
      </c>
      <c r="AO59" s="68" t="n">
        <f aca="false">AI59/AH59</f>
        <v>0.494623655913979</v>
      </c>
      <c r="AP59" s="68" t="n">
        <f aca="false">AL59/AH59</f>
        <v>0.247311827956989</v>
      </c>
      <c r="AQ59" s="68" t="n">
        <f aca="false">1-(AO59+AP59)</f>
        <v>0.258064516129032</v>
      </c>
      <c r="AR59" s="48" t="n">
        <f aca="false">AQ59+AP59</f>
        <v>0.505376344086022</v>
      </c>
      <c r="BA59" s="68" t="n">
        <f aca="false">AK59/AD59</f>
        <v>0.432795698924731</v>
      </c>
      <c r="BB59" s="52" t="n">
        <f aca="false">A59</f>
        <v>37956</v>
      </c>
    </row>
    <row r="60" customFormat="false" ht="12.75" hidden="false" customHeight="false" outlineLevel="0" collapsed="false">
      <c r="A60" s="52" t="n">
        <v>37987</v>
      </c>
      <c r="B60" s="59" t="n">
        <v>27.25</v>
      </c>
      <c r="C60" s="59" t="n">
        <v>24.1370967741935</v>
      </c>
      <c r="D60" s="60" t="n">
        <v>27.25</v>
      </c>
      <c r="E60" s="60" t="n">
        <v>20.4375</v>
      </c>
      <c r="F60" s="60" t="n">
        <f aca="false">((G60*AD60)-(B60*AE60))*(1/AF60)</f>
        <v>22.2378048780488</v>
      </c>
      <c r="G60" s="54" t="n">
        <f aca="false">((Z60*16*E60)+(B60*W60*16)+(X60*8*C60))/(X60*24)</f>
        <v>25.0403225806452</v>
      </c>
      <c r="H60" s="54" t="n">
        <f aca="false">(F60*AF60+B60*AE60)/AD60</f>
        <v>25.0403225806452</v>
      </c>
      <c r="I60" s="54" t="n">
        <f aca="false">B60*$C$5+F60*$C$6</f>
        <v>25.0446341463415</v>
      </c>
      <c r="K60" s="76" t="n">
        <v>3.68412114907708</v>
      </c>
      <c r="M60" s="71" t="n">
        <v>1.428572555692</v>
      </c>
      <c r="N60" s="71" t="n">
        <v>0.062569401676558</v>
      </c>
      <c r="O60" s="35" t="n">
        <f aca="false">1/((1+N60)^((A60-$B$2)/365))</f>
        <v>3.74360009135954</v>
      </c>
      <c r="P60" s="64"/>
      <c r="Q60" s="54" t="n">
        <f aca="false">M60*B60</f>
        <v>38.928602142607</v>
      </c>
      <c r="R60" s="54" t="n">
        <f aca="false">C60*M60</f>
        <v>34.4815940256948</v>
      </c>
      <c r="S60" s="54" t="n">
        <f aca="false">M60*G60</f>
        <v>35.7719176243844</v>
      </c>
      <c r="T60" s="54" t="n">
        <f aca="false">F60*M60</f>
        <v>31.7683177476142</v>
      </c>
      <c r="V60" s="56" t="n">
        <f aca="false">Z60+AC60</f>
        <v>5</v>
      </c>
      <c r="W60" s="56" t="n">
        <f aca="false">X60-V60</f>
        <v>26</v>
      </c>
      <c r="X60" s="79" t="n">
        <f aca="false">A61-A60</f>
        <v>31</v>
      </c>
      <c r="Y60" s="78" t="n">
        <v>5</v>
      </c>
      <c r="Z60" s="78" t="n">
        <v>4</v>
      </c>
      <c r="AA60" s="56" t="n">
        <f aca="false">Y60+Z60</f>
        <v>9</v>
      </c>
      <c r="AB60" s="80" t="n">
        <f aca="false">X60-AA60</f>
        <v>22</v>
      </c>
      <c r="AC60" s="0" t="n">
        <v>1</v>
      </c>
      <c r="AD60" s="0" t="n">
        <f aca="false">X60*24</f>
        <v>744</v>
      </c>
      <c r="AE60" s="0" t="n">
        <f aca="false">W60*16</f>
        <v>416</v>
      </c>
      <c r="AF60" s="0" t="n">
        <f aca="false">V60*24+W60*8</f>
        <v>328</v>
      </c>
      <c r="AH60" s="0" t="n">
        <f aca="false">X60*24</f>
        <v>744</v>
      </c>
      <c r="AI60" s="0" t="n">
        <f aca="false">AB60*16</f>
        <v>352</v>
      </c>
      <c r="AJ60" s="0" t="n">
        <f aca="false">AB60*13</f>
        <v>286</v>
      </c>
      <c r="AK60" s="0" t="n">
        <f aca="false">AB60*14</f>
        <v>308</v>
      </c>
      <c r="AL60" s="0" t="n">
        <f aca="false">AB60*8</f>
        <v>176</v>
      </c>
      <c r="AM60" s="0" t="n">
        <f aca="false">AA60*24</f>
        <v>216</v>
      </c>
      <c r="AO60" s="68" t="n">
        <f aca="false">AI60/AH60</f>
        <v>0.473118279569893</v>
      </c>
      <c r="AP60" s="68" t="n">
        <f aca="false">AL60/AH60</f>
        <v>0.236559139784946</v>
      </c>
      <c r="AQ60" s="68" t="n">
        <f aca="false">1-(AO60+AP60)</f>
        <v>0.290322580645161</v>
      </c>
      <c r="AR60" s="48" t="n">
        <f aca="false">AQ60+AP60</f>
        <v>0.526881720430108</v>
      </c>
      <c r="BA60" s="68" t="n">
        <f aca="false">AK60/AD60</f>
        <v>0.413978494623656</v>
      </c>
      <c r="BB60" s="52" t="n">
        <f aca="false">A60</f>
        <v>37987</v>
      </c>
    </row>
    <row r="61" customFormat="false" ht="12.75" hidden="false" customHeight="false" outlineLevel="0" collapsed="false">
      <c r="A61" s="52" t="n">
        <v>38018</v>
      </c>
      <c r="B61" s="59" t="n">
        <v>25.25</v>
      </c>
      <c r="C61" s="59" t="n">
        <v>22.2142857142857</v>
      </c>
      <c r="D61" s="60" t="n">
        <v>25.25</v>
      </c>
      <c r="E61" s="60" t="n">
        <v>18.9375</v>
      </c>
      <c r="F61" s="60" t="n">
        <f aca="false">((G61*AD61)-(B61*AE61))*(1/AF61)</f>
        <v>21.3740842490842</v>
      </c>
      <c r="G61" s="54" t="n">
        <f aca="false">((Z61*16*E61)+(B61*W61*16)+(X61*8*C61))/(X61*24)</f>
        <v>23.5125205254516</v>
      </c>
      <c r="H61" s="54" t="n">
        <f aca="false">(F61*AF61+B61*AE61)/AD61</f>
        <v>23.5125205254516</v>
      </c>
      <c r="I61" s="54" t="n">
        <f aca="false">B61*$C$5+F61*$C$6</f>
        <v>23.5445970695971</v>
      </c>
      <c r="K61" s="76" t="n">
        <v>3.51191880083371</v>
      </c>
      <c r="M61" s="71" t="n">
        <v>1.427476172977</v>
      </c>
      <c r="N61" s="71" t="n">
        <v>0.062575892791163</v>
      </c>
      <c r="O61" s="35" t="n">
        <f aca="false">1/((1+N61)^((A61-$B$2)/365))</f>
        <v>3.72484635850357</v>
      </c>
      <c r="P61" s="64"/>
      <c r="Q61" s="54" t="n">
        <f aca="false">M61*B61</f>
        <v>36.0437733676693</v>
      </c>
      <c r="R61" s="54" t="n">
        <f aca="false">C61*M61</f>
        <v>31.7103635568462</v>
      </c>
      <c r="S61" s="54" t="n">
        <f aca="false">M61*G61</f>
        <v>33.5635628167148</v>
      </c>
      <c r="T61" s="54" t="n">
        <f aca="false">F61*M61</f>
        <v>30.5109959847707</v>
      </c>
      <c r="V61" s="56" t="n">
        <f aca="false">Z61+AC61</f>
        <v>5</v>
      </c>
      <c r="W61" s="56" t="n">
        <f aca="false">X61-V61</f>
        <v>24</v>
      </c>
      <c r="X61" s="81" t="n">
        <f aca="false">A62-A61</f>
        <v>29</v>
      </c>
      <c r="Y61" s="77" t="n">
        <v>4</v>
      </c>
      <c r="Z61" s="77" t="n">
        <v>5</v>
      </c>
      <c r="AA61" s="56" t="n">
        <f aca="false">Y61+Z61</f>
        <v>9</v>
      </c>
      <c r="AB61" s="82" t="n">
        <f aca="false">X61-AA61</f>
        <v>20</v>
      </c>
      <c r="AD61" s="0" t="n">
        <f aca="false">X61*24</f>
        <v>696</v>
      </c>
      <c r="AE61" s="0" t="n">
        <f aca="false">W61*16</f>
        <v>384</v>
      </c>
      <c r="AF61" s="0" t="n">
        <f aca="false">V61*24+W61*8</f>
        <v>312</v>
      </c>
      <c r="AH61" s="0" t="n">
        <f aca="false">X61*24</f>
        <v>696</v>
      </c>
      <c r="AI61" s="0" t="n">
        <f aca="false">AB61*16</f>
        <v>320</v>
      </c>
      <c r="AJ61" s="0" t="n">
        <f aca="false">AB61*13</f>
        <v>260</v>
      </c>
      <c r="AK61" s="0" t="n">
        <f aca="false">AB61*14</f>
        <v>280</v>
      </c>
      <c r="AL61" s="0" t="n">
        <f aca="false">AB61*8</f>
        <v>160</v>
      </c>
      <c r="AM61" s="0" t="n">
        <f aca="false">AA61*24</f>
        <v>216</v>
      </c>
      <c r="AO61" s="68" t="n">
        <f aca="false">AI61/AH61</f>
        <v>0.459770114942529</v>
      </c>
      <c r="AP61" s="68" t="n">
        <f aca="false">AL61/AH61</f>
        <v>0.229885057471264</v>
      </c>
      <c r="AQ61" s="68" t="n">
        <f aca="false">1-(AO61+AP61)</f>
        <v>0.310344827586207</v>
      </c>
      <c r="AR61" s="48" t="n">
        <f aca="false">AQ61+AP61</f>
        <v>0.540229885057471</v>
      </c>
      <c r="BA61" s="68" t="n">
        <f aca="false">AK61/AD61</f>
        <v>0.402298850574713</v>
      </c>
      <c r="BB61" s="52" t="n">
        <f aca="false">A61</f>
        <v>38018</v>
      </c>
    </row>
    <row r="62" customFormat="false" ht="12.75" hidden="false" customHeight="false" outlineLevel="0" collapsed="false">
      <c r="A62" s="52" t="n">
        <v>38047</v>
      </c>
      <c r="B62" s="59" t="n">
        <v>23.25</v>
      </c>
      <c r="C62" s="59" t="n">
        <v>20.1451612903226</v>
      </c>
      <c r="D62" s="60" t="n">
        <v>23.25</v>
      </c>
      <c r="E62" s="60" t="n">
        <v>17.4375</v>
      </c>
      <c r="F62" s="60" t="n">
        <f aca="false">((G62*AD62)-(B62*AE62))*(1/AF62)</f>
        <v>19.5897435897436</v>
      </c>
      <c r="G62" s="54" t="n">
        <f aca="false">((Z62*16*E62)+(B62*W62*16)+(X62*8*C62))/(X62*24)</f>
        <v>21.7150537634409</v>
      </c>
      <c r="H62" s="54" t="n">
        <f aca="false">(F62*AF62+B62*AE62)/AD62</f>
        <v>21.7150537634409</v>
      </c>
      <c r="I62" s="54" t="n">
        <f aca="false">B62*$C$5+F62*$C$6</f>
        <v>21.6394871794872</v>
      </c>
      <c r="K62" s="76" t="n">
        <v>3.70119386222011</v>
      </c>
      <c r="M62" s="71" t="n">
        <v>1.426452135298</v>
      </c>
      <c r="N62" s="71" t="n">
        <v>0.062581965124194</v>
      </c>
      <c r="O62" s="35" t="n">
        <f aca="false">1/((1+N62)^((A62-$B$2)/365))</f>
        <v>3.70738411909034</v>
      </c>
      <c r="P62" s="64"/>
      <c r="Q62" s="54" t="n">
        <f aca="false">M62*B62</f>
        <v>33.1650121456785</v>
      </c>
      <c r="R62" s="54" t="n">
        <f aca="false">C62*M62</f>
        <v>28.7361083385033</v>
      </c>
      <c r="S62" s="54" t="n">
        <f aca="false">M62*G62</f>
        <v>30.9754848089711</v>
      </c>
      <c r="T62" s="54" t="n">
        <f aca="false">F62*M62</f>
        <v>27.94383157353</v>
      </c>
      <c r="V62" s="56" t="n">
        <f aca="false">Z62+AC62</f>
        <v>4</v>
      </c>
      <c r="W62" s="56" t="n">
        <f aca="false">X62-V62</f>
        <v>27</v>
      </c>
      <c r="X62" s="81" t="n">
        <f aca="false">A63-A62</f>
        <v>31</v>
      </c>
      <c r="Y62" s="77" t="n">
        <v>4</v>
      </c>
      <c r="Z62" s="77" t="n">
        <v>4</v>
      </c>
      <c r="AA62" s="56" t="n">
        <f aca="false">Y62+Z62</f>
        <v>8</v>
      </c>
      <c r="AB62" s="82" t="n">
        <f aca="false">X62-AA62</f>
        <v>23</v>
      </c>
      <c r="AD62" s="0" t="n">
        <f aca="false">X62*24</f>
        <v>744</v>
      </c>
      <c r="AE62" s="0" t="n">
        <f aca="false">W62*16</f>
        <v>432</v>
      </c>
      <c r="AF62" s="0" t="n">
        <f aca="false">V62*24+W62*8</f>
        <v>312</v>
      </c>
      <c r="AH62" s="0" t="n">
        <f aca="false">X62*24</f>
        <v>744</v>
      </c>
      <c r="AI62" s="0" t="n">
        <f aca="false">AB62*16</f>
        <v>368</v>
      </c>
      <c r="AJ62" s="0" t="n">
        <f aca="false">AB62*13</f>
        <v>299</v>
      </c>
      <c r="AK62" s="0" t="n">
        <f aca="false">AB62*14</f>
        <v>322</v>
      </c>
      <c r="AL62" s="0" t="n">
        <f aca="false">AB62*8</f>
        <v>184</v>
      </c>
      <c r="AM62" s="0" t="n">
        <f aca="false">AA62*24</f>
        <v>192</v>
      </c>
      <c r="AO62" s="68" t="n">
        <f aca="false">AI62/AH62</f>
        <v>0.494623655913979</v>
      </c>
      <c r="AP62" s="68" t="n">
        <f aca="false">AL62/AH62</f>
        <v>0.247311827956989</v>
      </c>
      <c r="AQ62" s="68" t="n">
        <f aca="false">1-(AO62+AP62)</f>
        <v>0.258064516129032</v>
      </c>
      <c r="AR62" s="48" t="n">
        <f aca="false">AQ62+AP62</f>
        <v>0.505376344086022</v>
      </c>
      <c r="BA62" s="68" t="n">
        <f aca="false">AK62/AD62</f>
        <v>0.432795698924731</v>
      </c>
      <c r="BB62" s="52" t="n">
        <f aca="false">A62</f>
        <v>38047</v>
      </c>
    </row>
    <row r="63" customFormat="false" ht="12.75" hidden="false" customHeight="false" outlineLevel="0" collapsed="false">
      <c r="A63" s="52" t="n">
        <v>38078</v>
      </c>
      <c r="B63" s="59" t="n">
        <v>23</v>
      </c>
      <c r="C63" s="59" t="n">
        <v>13.4042</v>
      </c>
      <c r="D63" s="60" t="n">
        <v>23</v>
      </c>
      <c r="E63" s="60" t="n">
        <v>17.25</v>
      </c>
      <c r="F63" s="60" t="n">
        <f aca="false">((G63*AD63)-(B63*AE63))*(1/AF63)</f>
        <v>14.2138421052632</v>
      </c>
      <c r="G63" s="54" t="n">
        <f aca="false">((Z63*16*E63)+(B63*W63*16)+(X63*8*C63))/(X63*24)</f>
        <v>19.2902888888889</v>
      </c>
      <c r="H63" s="54" t="n">
        <f aca="false">(F63*AF63+B63*AE63)/AD63</f>
        <v>19.2902888888889</v>
      </c>
      <c r="I63" s="54" t="n">
        <f aca="false">B63*$C$5+F63*$C$6</f>
        <v>19.1340905263158</v>
      </c>
      <c r="K63" s="76" t="n">
        <v>3.43333486308567</v>
      </c>
      <c r="M63" s="71" t="n">
        <v>1.425359382234</v>
      </c>
      <c r="N63" s="71" t="n">
        <v>0.062588456238826</v>
      </c>
      <c r="O63" s="35" t="n">
        <f aca="false">1/((1+N63)^((A63-$B$2)/365))</f>
        <v>3.68880439747653</v>
      </c>
      <c r="P63" s="64"/>
      <c r="Q63" s="54" t="n">
        <f aca="false">M63*B63</f>
        <v>32.783265791382</v>
      </c>
      <c r="R63" s="54" t="n">
        <f aca="false">C63*M63</f>
        <v>19.105802231341</v>
      </c>
      <c r="S63" s="54" t="n">
        <f aca="false">M63*G63</f>
        <v>27.4955942537821</v>
      </c>
      <c r="T63" s="54" t="n">
        <f aca="false">F63*M63</f>
        <v>20.2598332023295</v>
      </c>
      <c r="V63" s="56" t="n">
        <f aca="false">Z63+AC63</f>
        <v>4</v>
      </c>
      <c r="W63" s="56" t="n">
        <f aca="false">X63-V63</f>
        <v>26</v>
      </c>
      <c r="X63" s="81" t="n">
        <f aca="false">A64-A63</f>
        <v>30</v>
      </c>
      <c r="Y63" s="77" t="n">
        <v>4</v>
      </c>
      <c r="Z63" s="77" t="n">
        <v>4</v>
      </c>
      <c r="AA63" s="56" t="n">
        <f aca="false">Y63+Z63</f>
        <v>8</v>
      </c>
      <c r="AB63" s="82" t="n">
        <f aca="false">X63-AA63</f>
        <v>22</v>
      </c>
      <c r="AD63" s="0" t="n">
        <f aca="false">X63*24</f>
        <v>720</v>
      </c>
      <c r="AE63" s="0" t="n">
        <f aca="false">W63*16</f>
        <v>416</v>
      </c>
      <c r="AF63" s="0" t="n">
        <f aca="false">V63*24+W63*8</f>
        <v>304</v>
      </c>
      <c r="AH63" s="0" t="n">
        <f aca="false">X63*24</f>
        <v>720</v>
      </c>
      <c r="AI63" s="0" t="n">
        <f aca="false">AB63*16</f>
        <v>352</v>
      </c>
      <c r="AJ63" s="0" t="n">
        <f aca="false">AB63*13</f>
        <v>286</v>
      </c>
      <c r="AK63" s="0" t="n">
        <f aca="false">AB63*14</f>
        <v>308</v>
      </c>
      <c r="AL63" s="0" t="n">
        <f aca="false">AB63*8</f>
        <v>176</v>
      </c>
      <c r="AM63" s="0" t="n">
        <f aca="false">AA63*24</f>
        <v>192</v>
      </c>
      <c r="AO63" s="68" t="n">
        <f aca="false">AI63/AH63</f>
        <v>0.488888888888889</v>
      </c>
      <c r="AP63" s="68" t="n">
        <f aca="false">AL63/AH63</f>
        <v>0.244444444444444</v>
      </c>
      <c r="AQ63" s="68" t="n">
        <f aca="false">1-(AO63+AP63)</f>
        <v>0.266666666666667</v>
      </c>
      <c r="AR63" s="48" t="n">
        <f aca="false">AQ63+AP63</f>
        <v>0.511111111111111</v>
      </c>
      <c r="BA63" s="68" t="n">
        <f aca="false">AK63/AD63</f>
        <v>0.427777777777778</v>
      </c>
      <c r="BB63" s="52" t="n">
        <f aca="false">A63</f>
        <v>38078</v>
      </c>
    </row>
    <row r="64" customFormat="false" ht="12.75" hidden="false" customHeight="false" outlineLevel="0" collapsed="false">
      <c r="A64" s="52" t="n">
        <v>38108</v>
      </c>
      <c r="B64" s="59" t="n">
        <v>22.5</v>
      </c>
      <c r="C64" s="59" t="n">
        <v>6.06854838709677</v>
      </c>
      <c r="D64" s="60" t="n">
        <v>21.25</v>
      </c>
      <c r="E64" s="60" t="n">
        <v>15.9375</v>
      </c>
      <c r="F64" s="60" t="n">
        <f aca="false">((G64*AD64)-(B64*AE64))*(1/AF64)</f>
        <v>8.08139534883721</v>
      </c>
      <c r="G64" s="54" t="n">
        <f aca="false">((Z64*16*E64)+(B64*W64*16)+(X64*8*C64))/(X64*24)</f>
        <v>15.8333333333333</v>
      </c>
      <c r="H64" s="54" t="n">
        <f aca="false">(F64*AF64+B64*AE64)/AD64</f>
        <v>15.8333333333333</v>
      </c>
      <c r="I64" s="54" t="n">
        <f aca="false">B64*$C$5+F64*$C$6</f>
        <v>16.1558139534884</v>
      </c>
      <c r="K64" s="76" t="n">
        <v>3.39807161721864</v>
      </c>
      <c r="M64" s="71" t="n">
        <v>1.424303774785</v>
      </c>
      <c r="N64" s="71" t="n">
        <v>0.062594737962677</v>
      </c>
      <c r="O64" s="35" t="n">
        <f aca="false">1/((1+N64)^((A64-$B$2)/365))</f>
        <v>3.67090905297348</v>
      </c>
      <c r="Q64" s="54" t="n">
        <f aca="false">M64*B64</f>
        <v>32.0468349326625</v>
      </c>
      <c r="R64" s="54" t="n">
        <f aca="false">C64*M64</f>
        <v>8.64345637520736</v>
      </c>
      <c r="S64" s="54" t="n">
        <f aca="false">M64*G64</f>
        <v>22.5514764340958</v>
      </c>
      <c r="T64" s="54" t="n">
        <f aca="false">F64*M64</f>
        <v>11.5103619008788</v>
      </c>
      <c r="V64" s="56" t="n">
        <f aca="false">Z64+AC64</f>
        <v>6</v>
      </c>
      <c r="W64" s="56" t="n">
        <f aca="false">X64-V64</f>
        <v>25</v>
      </c>
      <c r="X64" s="81" t="n">
        <f aca="false">A65-A64</f>
        <v>31</v>
      </c>
      <c r="Y64" s="77" t="n">
        <v>5</v>
      </c>
      <c r="Z64" s="77" t="n">
        <v>5</v>
      </c>
      <c r="AA64" s="56" t="n">
        <f aca="false">Y64+Z64</f>
        <v>10</v>
      </c>
      <c r="AB64" s="82" t="n">
        <f aca="false">X64-AA64</f>
        <v>21</v>
      </c>
      <c r="AC64" s="0" t="n">
        <v>1</v>
      </c>
      <c r="AD64" s="0" t="n">
        <f aca="false">X64*24</f>
        <v>744</v>
      </c>
      <c r="AE64" s="0" t="n">
        <f aca="false">W64*16</f>
        <v>400</v>
      </c>
      <c r="AF64" s="0" t="n">
        <f aca="false">V64*24+W64*8</f>
        <v>344</v>
      </c>
      <c r="AH64" s="0" t="n">
        <f aca="false">X64*24</f>
        <v>744</v>
      </c>
      <c r="AI64" s="0" t="n">
        <f aca="false">AB64*16</f>
        <v>336</v>
      </c>
      <c r="AJ64" s="0" t="n">
        <f aca="false">AB64*13</f>
        <v>273</v>
      </c>
      <c r="AK64" s="0" t="n">
        <f aca="false">AB64*14</f>
        <v>294</v>
      </c>
      <c r="AL64" s="0" t="n">
        <f aca="false">AB64*8</f>
        <v>168</v>
      </c>
      <c r="AM64" s="0" t="n">
        <f aca="false">AA64*24</f>
        <v>240</v>
      </c>
      <c r="AO64" s="68" t="n">
        <f aca="false">AI64/AH64</f>
        <v>0.451612903225806</v>
      </c>
      <c r="AP64" s="68" t="n">
        <f aca="false">AL64/AH64</f>
        <v>0.225806451612903</v>
      </c>
      <c r="AQ64" s="68" t="n">
        <f aca="false">1-(AO64+AP64)</f>
        <v>0.32258064516129</v>
      </c>
      <c r="AR64" s="48" t="n">
        <f aca="false">AQ64+AP64</f>
        <v>0.548387096774194</v>
      </c>
      <c r="BA64" s="68" t="n">
        <f aca="false">AK64/AD64</f>
        <v>0.395161290322581</v>
      </c>
      <c r="BB64" s="52" t="n">
        <f aca="false">A64</f>
        <v>38108</v>
      </c>
    </row>
    <row r="65" customFormat="false" ht="12.75" hidden="false" customHeight="false" outlineLevel="0" collapsed="false">
      <c r="A65" s="52" t="n">
        <v>38139</v>
      </c>
      <c r="B65" s="59" t="n">
        <v>23.5</v>
      </c>
      <c r="C65" s="59" t="n">
        <v>5.7</v>
      </c>
      <c r="D65" s="60" t="n">
        <v>22.25</v>
      </c>
      <c r="E65" s="60" t="n">
        <v>16.6875</v>
      </c>
      <c r="F65" s="60" t="n">
        <f aca="false">((G65*AD65)-(B65*AE65))*(1/AF65)</f>
        <v>8.01315789473684</v>
      </c>
      <c r="G65" s="54" t="n">
        <f aca="false">((Z65*16*E65)+(B65*W65*16)+(X65*8*C65))/(X65*24)</f>
        <v>16.9611111111111</v>
      </c>
      <c r="H65" s="54" t="n">
        <f aca="false">(F65*AF65+B65*AE65)/AD65</f>
        <v>16.9611111111111</v>
      </c>
      <c r="I65" s="54" t="n">
        <f aca="false">B65*$C$5+F65*$C$6</f>
        <v>16.6857894736842</v>
      </c>
      <c r="K65" s="76" t="n">
        <v>3.40310386165859</v>
      </c>
      <c r="M65" s="71" t="n">
        <v>1.423214739309</v>
      </c>
      <c r="N65" s="71" t="n">
        <v>0.062601229077337</v>
      </c>
      <c r="O65" s="35" t="n">
        <f aca="false">1/((1+N65)^((A65-$B$2)/365))</f>
        <v>3.65250466422788</v>
      </c>
      <c r="Q65" s="54" t="n">
        <f aca="false">M65*B65</f>
        <v>33.4455463737615</v>
      </c>
      <c r="R65" s="54" t="n">
        <f aca="false">C65*M65</f>
        <v>8.1123240140613</v>
      </c>
      <c r="S65" s="54" t="n">
        <f aca="false">M65*G65</f>
        <v>24.139303328391</v>
      </c>
      <c r="T65" s="54" t="n">
        <f aca="false">F65*M65</f>
        <v>11.4044444241998</v>
      </c>
      <c r="V65" s="56" t="n">
        <f aca="false">Z65+AC65</f>
        <v>4</v>
      </c>
      <c r="W65" s="56" t="n">
        <f aca="false">X65-V65</f>
        <v>26</v>
      </c>
      <c r="X65" s="81" t="n">
        <f aca="false">A66-A65</f>
        <v>30</v>
      </c>
      <c r="Y65" s="77" t="n">
        <v>4</v>
      </c>
      <c r="Z65" s="77" t="n">
        <v>4</v>
      </c>
      <c r="AA65" s="56" t="n">
        <f aca="false">Y65+Z65</f>
        <v>8</v>
      </c>
      <c r="AB65" s="82" t="n">
        <f aca="false">X65-AA65</f>
        <v>22</v>
      </c>
      <c r="AD65" s="0" t="n">
        <f aca="false">X65*24</f>
        <v>720</v>
      </c>
      <c r="AE65" s="0" t="n">
        <f aca="false">W65*16</f>
        <v>416</v>
      </c>
      <c r="AF65" s="0" t="n">
        <f aca="false">V65*24+W65*8</f>
        <v>304</v>
      </c>
      <c r="AH65" s="0" t="n">
        <f aca="false">X65*24</f>
        <v>720</v>
      </c>
      <c r="AI65" s="0" t="n">
        <f aca="false">AB65*16</f>
        <v>352</v>
      </c>
      <c r="AJ65" s="0" t="n">
        <f aca="false">AB65*13</f>
        <v>286</v>
      </c>
      <c r="AK65" s="0" t="n">
        <f aca="false">AB65*14</f>
        <v>308</v>
      </c>
      <c r="AL65" s="0" t="n">
        <f aca="false">AB65*8</f>
        <v>176</v>
      </c>
      <c r="AM65" s="0" t="n">
        <f aca="false">AA65*24</f>
        <v>192</v>
      </c>
      <c r="AO65" s="68" t="n">
        <f aca="false">AI65/AH65</f>
        <v>0.488888888888889</v>
      </c>
      <c r="AP65" s="68" t="n">
        <f aca="false">AL65/AH65</f>
        <v>0.244444444444444</v>
      </c>
      <c r="AQ65" s="68" t="n">
        <f aca="false">1-(AO65+AP65)</f>
        <v>0.266666666666667</v>
      </c>
      <c r="AR65" s="48" t="n">
        <f aca="false">AQ65+AP65</f>
        <v>0.511111111111111</v>
      </c>
      <c r="BA65" s="68" t="n">
        <f aca="false">AK65/AD65</f>
        <v>0.427777777777778</v>
      </c>
      <c r="BB65" s="52" t="n">
        <f aca="false">A65</f>
        <v>38139</v>
      </c>
    </row>
    <row r="66" customFormat="false" ht="12.75" hidden="false" customHeight="false" outlineLevel="0" collapsed="false">
      <c r="A66" s="52" t="n">
        <v>38169</v>
      </c>
      <c r="B66" s="59" t="n">
        <v>52.3625</v>
      </c>
      <c r="C66" s="59" t="n">
        <v>14.9596774193548</v>
      </c>
      <c r="D66" s="60" t="n">
        <v>51.275</v>
      </c>
      <c r="E66" s="60" t="n">
        <v>38.45625</v>
      </c>
      <c r="F66" s="60" t="n">
        <f aca="false">((G66*AD66)-(B66*AE66))*(1/AF66)</f>
        <v>18.8146341463415</v>
      </c>
      <c r="G66" s="54" t="n">
        <f aca="false">((Z66*16*E66)+(B66*W66*16)+(X66*8*C66))/(X66*24)</f>
        <v>37.5725806451613</v>
      </c>
      <c r="H66" s="54" t="n">
        <f aca="false">(F66*AF66+B66*AE66)/AD66</f>
        <v>37.5725806451613</v>
      </c>
      <c r="I66" s="54" t="n">
        <f aca="false">B66*$C$5+F66*$C$6</f>
        <v>37.6014390243902</v>
      </c>
      <c r="K66" s="76" t="n">
        <v>3.48345400741854</v>
      </c>
      <c r="M66" s="71" t="n">
        <v>1.422162533522</v>
      </c>
      <c r="N66" s="71" t="n">
        <v>0.062607510801215</v>
      </c>
      <c r="O66" s="35" t="n">
        <f aca="false">1/((1+N66)^((A66-$B$2)/365))</f>
        <v>3.63477823144138</v>
      </c>
      <c r="Q66" s="54" t="n">
        <f aca="false">M66*B66</f>
        <v>74.4679856615457</v>
      </c>
      <c r="R66" s="54" t="n">
        <f aca="false">C66*M66</f>
        <v>21.2750927393815</v>
      </c>
      <c r="S66" s="54" t="n">
        <f aca="false">M66*G66</f>
        <v>53.4343164812822</v>
      </c>
      <c r="T66" s="54" t="n">
        <f aca="false">F66*M66</f>
        <v>26.7574677648505</v>
      </c>
      <c r="V66" s="56" t="n">
        <f aca="false">Z66+AC66</f>
        <v>5</v>
      </c>
      <c r="W66" s="56" t="n">
        <f aca="false">X66-V66</f>
        <v>26</v>
      </c>
      <c r="X66" s="81" t="n">
        <f aca="false">A67-A66</f>
        <v>31</v>
      </c>
      <c r="Y66" s="77" t="n">
        <v>5</v>
      </c>
      <c r="Z66" s="77" t="n">
        <v>4</v>
      </c>
      <c r="AA66" s="56" t="n">
        <f aca="false">Y66+Z66</f>
        <v>9</v>
      </c>
      <c r="AB66" s="82" t="n">
        <f aca="false">X66-AA66</f>
        <v>22</v>
      </c>
      <c r="AC66" s="0" t="n">
        <v>1</v>
      </c>
      <c r="AD66" s="0" t="n">
        <f aca="false">X66*24</f>
        <v>744</v>
      </c>
      <c r="AE66" s="0" t="n">
        <f aca="false">W66*16</f>
        <v>416</v>
      </c>
      <c r="AF66" s="0" t="n">
        <f aca="false">V66*24+W66*8</f>
        <v>328</v>
      </c>
      <c r="AH66" s="0" t="n">
        <f aca="false">X66*24</f>
        <v>744</v>
      </c>
      <c r="AI66" s="0" t="n">
        <f aca="false">AB66*16</f>
        <v>352</v>
      </c>
      <c r="AJ66" s="0" t="n">
        <f aca="false">AB66*13</f>
        <v>286</v>
      </c>
      <c r="AK66" s="0" t="n">
        <f aca="false">AB66*14</f>
        <v>308</v>
      </c>
      <c r="AL66" s="0" t="n">
        <f aca="false">AB66*8</f>
        <v>176</v>
      </c>
      <c r="AM66" s="0" t="n">
        <f aca="false">AA66*24</f>
        <v>216</v>
      </c>
      <c r="AO66" s="68" t="n">
        <f aca="false">AI66/AH66</f>
        <v>0.473118279569893</v>
      </c>
      <c r="AP66" s="68" t="n">
        <f aca="false">AL66/AH66</f>
        <v>0.236559139784946</v>
      </c>
      <c r="AQ66" s="68" t="n">
        <f aca="false">1-(AO66+AP66)</f>
        <v>0.290322580645161</v>
      </c>
      <c r="AR66" s="48" t="n">
        <f aca="false">AQ66+AP66</f>
        <v>0.526881720430108</v>
      </c>
      <c r="BA66" s="68" t="n">
        <f aca="false">AK66/AD66</f>
        <v>0.413978494623656</v>
      </c>
      <c r="BB66" s="52" t="n">
        <f aca="false">A66</f>
        <v>38169</v>
      </c>
    </row>
    <row r="67" customFormat="false" ht="12.75" hidden="false" customHeight="false" outlineLevel="0" collapsed="false">
      <c r="A67" s="52" t="n">
        <v>38200</v>
      </c>
      <c r="B67" s="59" t="n">
        <v>65.8625</v>
      </c>
      <c r="C67" s="59" t="n">
        <v>23.25</v>
      </c>
      <c r="D67" s="60" t="n">
        <v>64.775</v>
      </c>
      <c r="E67" s="60" t="n">
        <v>48.58125</v>
      </c>
      <c r="F67" s="60" t="n">
        <f aca="false">((G67*AD67)-(B67*AE67))*(1/AF67)</f>
        <v>29.4283536585366</v>
      </c>
      <c r="G67" s="54" t="n">
        <f aca="false">((Z67*16*E67)+(B67*W67*16)+(X67*8*C67))/(X67*24)</f>
        <v>49.8001344086022</v>
      </c>
      <c r="H67" s="54" t="n">
        <f aca="false">(F67*AF67+B67*AE67)/AD67</f>
        <v>49.8001344086022</v>
      </c>
      <c r="I67" s="54" t="n">
        <f aca="false">B67*$C$5+F67*$C$6</f>
        <v>49.8314756097561</v>
      </c>
      <c r="K67" s="76" t="n">
        <v>3.46957329599929</v>
      </c>
      <c r="M67" s="71" t="n">
        <v>1.421077007621</v>
      </c>
      <c r="N67" s="71" t="n">
        <v>0.062614001915902</v>
      </c>
      <c r="O67" s="35" t="n">
        <f aca="false">1/((1+N67)^((A67-$B$2)/365))</f>
        <v>3.61654759743484</v>
      </c>
      <c r="Q67" s="54" t="n">
        <f aca="false">M67*B67</f>
        <v>93.5956844144381</v>
      </c>
      <c r="R67" s="54" t="n">
        <f aca="false">C67*M67</f>
        <v>33.0400404271883</v>
      </c>
      <c r="S67" s="54" t="n">
        <f aca="false">M67*G67</f>
        <v>70.7698259845</v>
      </c>
      <c r="T67" s="54" t="n">
        <f aca="false">F67*M67</f>
        <v>41.8199567562857</v>
      </c>
      <c r="V67" s="56" t="n">
        <f aca="false">Z67+AC67</f>
        <v>5</v>
      </c>
      <c r="W67" s="56" t="n">
        <f aca="false">X67-V67</f>
        <v>26</v>
      </c>
      <c r="X67" s="81" t="n">
        <f aca="false">A68-A67</f>
        <v>31</v>
      </c>
      <c r="Y67" s="77" t="n">
        <v>4</v>
      </c>
      <c r="Z67" s="77" t="n">
        <v>5</v>
      </c>
      <c r="AA67" s="56" t="n">
        <f aca="false">Y67+Z67</f>
        <v>9</v>
      </c>
      <c r="AB67" s="82" t="n">
        <f aca="false">X67-AA67</f>
        <v>22</v>
      </c>
      <c r="AD67" s="0" t="n">
        <f aca="false">X67*24</f>
        <v>744</v>
      </c>
      <c r="AE67" s="0" t="n">
        <f aca="false">W67*16</f>
        <v>416</v>
      </c>
      <c r="AF67" s="0" t="n">
        <f aca="false">V67*24+W67*8</f>
        <v>328</v>
      </c>
      <c r="AH67" s="0" t="n">
        <f aca="false">X67*24</f>
        <v>744</v>
      </c>
      <c r="AI67" s="0" t="n">
        <f aca="false">AB67*16</f>
        <v>352</v>
      </c>
      <c r="AJ67" s="0" t="n">
        <f aca="false">AB67*13</f>
        <v>286</v>
      </c>
      <c r="AK67" s="0" t="n">
        <f aca="false">AB67*14</f>
        <v>308</v>
      </c>
      <c r="AL67" s="0" t="n">
        <f aca="false">AB67*8</f>
        <v>176</v>
      </c>
      <c r="AM67" s="0" t="n">
        <f aca="false">AA67*24</f>
        <v>216</v>
      </c>
      <c r="AO67" s="68" t="n">
        <f aca="false">AI67/AH67</f>
        <v>0.473118279569893</v>
      </c>
      <c r="AP67" s="68" t="n">
        <f aca="false">AL67/AH67</f>
        <v>0.236559139784946</v>
      </c>
      <c r="AQ67" s="68" t="n">
        <f aca="false">1-(AO67+AP67)</f>
        <v>0.290322580645161</v>
      </c>
      <c r="AR67" s="48" t="n">
        <f aca="false">AQ67+AP67</f>
        <v>0.526881720430108</v>
      </c>
      <c r="BA67" s="68" t="n">
        <f aca="false">AK67/AD67</f>
        <v>0.413978494623656</v>
      </c>
      <c r="BB67" s="52" t="n">
        <f aca="false">A67</f>
        <v>38200</v>
      </c>
    </row>
    <row r="68" customFormat="false" ht="12.75" hidden="false" customHeight="false" outlineLevel="0" collapsed="false">
      <c r="A68" s="52" t="n">
        <v>38231</v>
      </c>
      <c r="B68" s="59" t="n">
        <v>53.75</v>
      </c>
      <c r="C68" s="59" t="n">
        <v>24</v>
      </c>
      <c r="D68" s="60" t="n">
        <v>51.5</v>
      </c>
      <c r="E68" s="60" t="n">
        <v>38.625</v>
      </c>
      <c r="F68" s="60" t="n">
        <f aca="false">((G68*AD68)-(B68*AE68))*(1/AF68)</f>
        <v>25.725</v>
      </c>
      <c r="G68" s="54" t="n">
        <f aca="false">((Z68*16*E68)+(B68*W68*16)+(X68*8*C68))/(X68*24)</f>
        <v>41.2944444444444</v>
      </c>
      <c r="H68" s="54" t="n">
        <f aca="false">(F68*AF68+B68*AE68)/AD68</f>
        <v>41.2944444444444</v>
      </c>
      <c r="I68" s="54" t="n">
        <f aca="false">B68*$C$5+F68*$C$6</f>
        <v>41.419</v>
      </c>
      <c r="K68" s="76" t="n">
        <v>3.45167844800406</v>
      </c>
      <c r="M68" s="71" t="n">
        <v>1.419993261089</v>
      </c>
      <c r="N68" s="71" t="n">
        <v>0.062620493030603</v>
      </c>
      <c r="O68" s="35" t="n">
        <f aca="false">1/((1+N68)^((A68-$B$2)/365))</f>
        <v>3.59840466454212</v>
      </c>
      <c r="Q68" s="54" t="n">
        <f aca="false">M68*B68</f>
        <v>76.3246377835338</v>
      </c>
      <c r="R68" s="54" t="n">
        <f aca="false">C68*M68</f>
        <v>34.079838266136</v>
      </c>
      <c r="S68" s="54" t="n">
        <f aca="false">M68*G68</f>
        <v>58.6378328315252</v>
      </c>
      <c r="T68" s="54" t="n">
        <f aca="false">F68*M68</f>
        <v>36.5293266415145</v>
      </c>
      <c r="V68" s="56" t="n">
        <f aca="false">Z68+AC68</f>
        <v>5</v>
      </c>
      <c r="W68" s="56" t="n">
        <f aca="false">X68-V68</f>
        <v>25</v>
      </c>
      <c r="X68" s="81" t="n">
        <f aca="false">A69-A68</f>
        <v>30</v>
      </c>
      <c r="Y68" s="77" t="n">
        <v>4</v>
      </c>
      <c r="Z68" s="77" t="n">
        <v>4</v>
      </c>
      <c r="AA68" s="56" t="n">
        <f aca="false">Y68+Z68</f>
        <v>8</v>
      </c>
      <c r="AB68" s="82" t="n">
        <f aca="false">X68-AA68</f>
        <v>22</v>
      </c>
      <c r="AC68" s="0" t="n">
        <v>1</v>
      </c>
      <c r="AD68" s="0" t="n">
        <f aca="false">X68*24</f>
        <v>720</v>
      </c>
      <c r="AE68" s="0" t="n">
        <f aca="false">W68*16</f>
        <v>400</v>
      </c>
      <c r="AF68" s="0" t="n">
        <f aca="false">V68*24+W68*8</f>
        <v>320</v>
      </c>
      <c r="AH68" s="0" t="n">
        <f aca="false">X68*24</f>
        <v>720</v>
      </c>
      <c r="AI68" s="0" t="n">
        <f aca="false">AB68*16</f>
        <v>352</v>
      </c>
      <c r="AJ68" s="0" t="n">
        <f aca="false">AB68*13</f>
        <v>286</v>
      </c>
      <c r="AK68" s="0" t="n">
        <f aca="false">AB68*14</f>
        <v>308</v>
      </c>
      <c r="AL68" s="0" t="n">
        <f aca="false">AB68*8</f>
        <v>176</v>
      </c>
      <c r="AM68" s="0" t="n">
        <f aca="false">AA68*24</f>
        <v>192</v>
      </c>
      <c r="AO68" s="68" t="n">
        <f aca="false">AI68/AH68</f>
        <v>0.488888888888889</v>
      </c>
      <c r="AP68" s="68" t="n">
        <f aca="false">AL68/AH68</f>
        <v>0.244444444444444</v>
      </c>
      <c r="AQ68" s="68" t="n">
        <f aca="false">1-(AO68+AP68)</f>
        <v>0.266666666666667</v>
      </c>
      <c r="AR68" s="48" t="n">
        <f aca="false">AQ68+AP68</f>
        <v>0.511111111111111</v>
      </c>
      <c r="BA68" s="68" t="n">
        <f aca="false">AK68/AD68</f>
        <v>0.427777777777778</v>
      </c>
      <c r="BB68" s="52" t="n">
        <f aca="false">A68</f>
        <v>38231</v>
      </c>
    </row>
    <row r="69" customFormat="false" ht="12.75" hidden="false" customHeight="false" outlineLevel="0" collapsed="false">
      <c r="A69" s="52" t="n">
        <v>38261</v>
      </c>
      <c r="B69" s="59" t="n">
        <v>38</v>
      </c>
      <c r="C69" s="59" t="n">
        <v>24.3629032258065</v>
      </c>
      <c r="D69" s="60" t="n">
        <v>36.75</v>
      </c>
      <c r="E69" s="60" t="n">
        <v>27.5625</v>
      </c>
      <c r="F69" s="60" t="n">
        <f aca="false">((G69*AD69)-(B69*AE69))*(1/AF69)</f>
        <v>25.1432926829268</v>
      </c>
      <c r="G69" s="54" t="n">
        <f aca="false">((Z69*16*E69)+(B69*W69*16)+(X69*8*C69))/(X69*24)</f>
        <v>32.3319892473118</v>
      </c>
      <c r="H69" s="54" t="n">
        <f aca="false">(F69*AF69+B69*AE69)/AD69</f>
        <v>32.3319892473118</v>
      </c>
      <c r="I69" s="54" t="n">
        <f aca="false">B69*$C$5+F69*$C$6</f>
        <v>32.3430487804878</v>
      </c>
      <c r="K69" s="76" t="n">
        <v>3.47142021896214</v>
      </c>
      <c r="M69" s="71" t="n">
        <v>1.418946165667</v>
      </c>
      <c r="N69" s="71" t="n">
        <v>0.062626774754521</v>
      </c>
      <c r="O69" s="35" t="n">
        <f aca="false">1/((1+N69)^((A69-$B$2)/365))</f>
        <v>3.58093011171004</v>
      </c>
      <c r="Q69" s="54" t="n">
        <f aca="false">M69*B69</f>
        <v>53.919954295346</v>
      </c>
      <c r="R69" s="54" t="n">
        <f aca="false">C69*M69</f>
        <v>34.5696481167742</v>
      </c>
      <c r="S69" s="54" t="n">
        <f aca="false">M69*G69</f>
        <v>45.8773521708598</v>
      </c>
      <c r="T69" s="54" t="n">
        <f aca="false">F69*M69</f>
        <v>35.6769787446822</v>
      </c>
      <c r="V69" s="56" t="n">
        <f aca="false">Z69+AC69</f>
        <v>5</v>
      </c>
      <c r="W69" s="56" t="n">
        <f aca="false">X69-V69</f>
        <v>26</v>
      </c>
      <c r="X69" s="81" t="n">
        <f aca="false">A70-A69</f>
        <v>31</v>
      </c>
      <c r="Y69" s="77" t="n">
        <v>5</v>
      </c>
      <c r="Z69" s="77" t="n">
        <v>5</v>
      </c>
      <c r="AA69" s="56" t="n">
        <f aca="false">Y69+Z69</f>
        <v>10</v>
      </c>
      <c r="AB69" s="82" t="n">
        <f aca="false">X69-AA69</f>
        <v>21</v>
      </c>
      <c r="AD69" s="0" t="n">
        <f aca="false">X69*24</f>
        <v>744</v>
      </c>
      <c r="AE69" s="0" t="n">
        <f aca="false">W69*16</f>
        <v>416</v>
      </c>
      <c r="AF69" s="0" t="n">
        <f aca="false">V69*24+W69*8</f>
        <v>328</v>
      </c>
      <c r="AH69" s="0" t="n">
        <f aca="false">X69*24</f>
        <v>744</v>
      </c>
      <c r="AI69" s="0" t="n">
        <f aca="false">AB69*16</f>
        <v>336</v>
      </c>
      <c r="AJ69" s="0" t="n">
        <f aca="false">AB69*13</f>
        <v>273</v>
      </c>
      <c r="AK69" s="0" t="n">
        <f aca="false">AB69*14</f>
        <v>294</v>
      </c>
      <c r="AL69" s="0" t="n">
        <f aca="false">AB69*8</f>
        <v>168</v>
      </c>
      <c r="AM69" s="0" t="n">
        <f aca="false">AA69*24</f>
        <v>240</v>
      </c>
      <c r="AO69" s="68" t="n">
        <f aca="false">AI69/AH69</f>
        <v>0.451612903225806</v>
      </c>
      <c r="AP69" s="68" t="n">
        <f aca="false">AL69/AH69</f>
        <v>0.225806451612903</v>
      </c>
      <c r="AQ69" s="68" t="n">
        <f aca="false">1-(AO69+AP69)</f>
        <v>0.32258064516129</v>
      </c>
      <c r="AR69" s="48" t="n">
        <f aca="false">AQ69+AP69</f>
        <v>0.548387096774194</v>
      </c>
      <c r="BA69" s="68" t="n">
        <f aca="false">AK69/AD69</f>
        <v>0.395161290322581</v>
      </c>
      <c r="BB69" s="52" t="n">
        <f aca="false">A69</f>
        <v>38261</v>
      </c>
    </row>
    <row r="70" customFormat="false" ht="12.75" hidden="false" customHeight="false" outlineLevel="0" collapsed="false">
      <c r="A70" s="52" t="n">
        <v>38292</v>
      </c>
      <c r="B70" s="59" t="n">
        <v>34</v>
      </c>
      <c r="C70" s="59" t="n">
        <v>24.4375</v>
      </c>
      <c r="D70" s="60" t="n">
        <v>32.75</v>
      </c>
      <c r="E70" s="60" t="n">
        <v>24.5625</v>
      </c>
      <c r="F70" s="60" t="n">
        <f aca="false">((G70*AD70)-(B70*AE70))*(1/AF70)</f>
        <v>23.240625</v>
      </c>
      <c r="G70" s="54" t="n">
        <f aca="false">((Z70*16*E70)+(B70*W70*16)+(X70*8*C70))/(X70*24)</f>
        <v>29.2180555555556</v>
      </c>
      <c r="H70" s="54" t="n">
        <f aca="false">(F70*AF70+B70*AE70)/AD70</f>
        <v>29.2180555555556</v>
      </c>
      <c r="I70" s="54" t="n">
        <f aca="false">B70*$C$5+F70*$C$6</f>
        <v>29.265875</v>
      </c>
      <c r="K70" s="76" t="n">
        <v>3.648636118033</v>
      </c>
      <c r="M70" s="71" t="n">
        <v>1.41786591226</v>
      </c>
      <c r="N70" s="71" t="n">
        <v>0.06263326586925</v>
      </c>
      <c r="O70" s="35" t="n">
        <f aca="false">1/((1+N70)^((A70-$B$2)/365))</f>
        <v>3.56295857882273</v>
      </c>
      <c r="Q70" s="54" t="n">
        <f aca="false">M70*B70</f>
        <v>48.20744101684</v>
      </c>
      <c r="R70" s="54" t="n">
        <f aca="false">C70*M70</f>
        <v>34.6490982308538</v>
      </c>
      <c r="S70" s="54" t="n">
        <f aca="false">M70*G70</f>
        <v>41.4272849947411</v>
      </c>
      <c r="T70" s="54" t="n">
        <f aca="false">F70*M70</f>
        <v>32.9520899671176</v>
      </c>
      <c r="V70" s="56" t="n">
        <f aca="false">Z70+AC70</f>
        <v>5</v>
      </c>
      <c r="W70" s="56" t="n">
        <f aca="false">X70-V70</f>
        <v>25</v>
      </c>
      <c r="X70" s="81" t="n">
        <f aca="false">A71-A70</f>
        <v>30</v>
      </c>
      <c r="Y70" s="77" t="n">
        <v>4</v>
      </c>
      <c r="Z70" s="77" t="n">
        <v>4</v>
      </c>
      <c r="AA70" s="56" t="n">
        <f aca="false">Y70+Z70</f>
        <v>8</v>
      </c>
      <c r="AB70" s="82" t="n">
        <f aca="false">X70-AA70</f>
        <v>22</v>
      </c>
      <c r="AC70" s="0" t="n">
        <v>1</v>
      </c>
      <c r="AD70" s="0" t="n">
        <f aca="false">X70*24</f>
        <v>720</v>
      </c>
      <c r="AE70" s="0" t="n">
        <f aca="false">W70*16</f>
        <v>400</v>
      </c>
      <c r="AF70" s="0" t="n">
        <f aca="false">V70*24+W70*8</f>
        <v>320</v>
      </c>
      <c r="AH70" s="0" t="n">
        <f aca="false">X70*24</f>
        <v>720</v>
      </c>
      <c r="AI70" s="0" t="n">
        <f aca="false">AB70*16</f>
        <v>352</v>
      </c>
      <c r="AJ70" s="0" t="n">
        <f aca="false">AB70*13</f>
        <v>286</v>
      </c>
      <c r="AK70" s="0" t="n">
        <f aca="false">AB70*14</f>
        <v>308</v>
      </c>
      <c r="AL70" s="0" t="n">
        <f aca="false">AB70*8</f>
        <v>176</v>
      </c>
      <c r="AM70" s="0" t="n">
        <f aca="false">AA70*24</f>
        <v>192</v>
      </c>
      <c r="AO70" s="68" t="n">
        <f aca="false">AI70/AH70</f>
        <v>0.488888888888889</v>
      </c>
      <c r="AP70" s="68" t="n">
        <f aca="false">AL70/AH70</f>
        <v>0.244444444444444</v>
      </c>
      <c r="AQ70" s="68" t="n">
        <f aca="false">1-(AO70+AP70)</f>
        <v>0.266666666666667</v>
      </c>
      <c r="AR70" s="48" t="n">
        <f aca="false">AQ70+AP70</f>
        <v>0.511111111111111</v>
      </c>
      <c r="BA70" s="68" t="n">
        <f aca="false">AK70/AD70</f>
        <v>0.427777777777778</v>
      </c>
      <c r="BB70" s="52" t="n">
        <f aca="false">A70</f>
        <v>38292</v>
      </c>
    </row>
    <row r="71" customFormat="false" ht="12.75" hidden="false" customHeight="false" outlineLevel="0" collapsed="false">
      <c r="A71" s="52" t="n">
        <v>38322</v>
      </c>
      <c r="B71" s="59" t="n">
        <v>34</v>
      </c>
      <c r="C71" s="59" t="n">
        <v>21.6129032258065</v>
      </c>
      <c r="D71" s="60" t="n">
        <v>32.75</v>
      </c>
      <c r="E71" s="60" t="n">
        <v>24.5625</v>
      </c>
      <c r="F71" s="60" t="n">
        <f aca="false">((G71*AD71)-(B71*AE71))*(1/AF71)</f>
        <v>21.1341463414634</v>
      </c>
      <c r="G71" s="54" t="n">
        <f aca="false">((Z71*16*E71)+(B71*W71*16)+(X71*8*C71))/(X71*24)</f>
        <v>28.3279569892473</v>
      </c>
      <c r="H71" s="54" t="n">
        <f aca="false">(F71*AF71+B71*AE71)/AD71</f>
        <v>28.3279569892473</v>
      </c>
      <c r="I71" s="54" t="n">
        <f aca="false">B71*$C$5+F71*$C$6</f>
        <v>28.3390243902439</v>
      </c>
      <c r="K71" s="76" t="n">
        <v>3.77516891357071</v>
      </c>
      <c r="M71" s="71" t="n">
        <v>1.416822192027</v>
      </c>
      <c r="N71" s="71" t="n">
        <v>0.062639547593194</v>
      </c>
      <c r="O71" s="35" t="n">
        <f aca="false">1/((1+N71)^((A71-$B$2)/365))</f>
        <v>3.5456491479626</v>
      </c>
      <c r="Q71" s="54" t="n">
        <f aca="false">M71*B71</f>
        <v>48.171954528918</v>
      </c>
      <c r="R71" s="54" t="n">
        <f aca="false">C71*M71</f>
        <v>30.6216409244545</v>
      </c>
      <c r="S71" s="54" t="n">
        <f aca="false">M71*G71</f>
        <v>40.135678117152</v>
      </c>
      <c r="T71" s="54" t="n">
        <f aca="false">F71*M71</f>
        <v>29.9433275461316</v>
      </c>
      <c r="V71" s="56" t="n">
        <f aca="false">Z71+AC71</f>
        <v>5</v>
      </c>
      <c r="W71" s="56" t="n">
        <f aca="false">X71-V71</f>
        <v>26</v>
      </c>
      <c r="X71" s="81" t="n">
        <f aca="false">A72-A71</f>
        <v>31</v>
      </c>
      <c r="Y71" s="77" t="n">
        <v>4</v>
      </c>
      <c r="Z71" s="77" t="n">
        <v>4</v>
      </c>
      <c r="AA71" s="56" t="n">
        <f aca="false">Y71+Z71</f>
        <v>8</v>
      </c>
      <c r="AB71" s="82" t="n">
        <f aca="false">X71-AA71</f>
        <v>23</v>
      </c>
      <c r="AC71" s="0" t="n">
        <v>1</v>
      </c>
      <c r="AD71" s="0" t="n">
        <f aca="false">X71*24</f>
        <v>744</v>
      </c>
      <c r="AE71" s="0" t="n">
        <f aca="false">W71*16</f>
        <v>416</v>
      </c>
      <c r="AF71" s="0" t="n">
        <f aca="false">V71*24+W71*8</f>
        <v>328</v>
      </c>
      <c r="AH71" s="0" t="n">
        <f aca="false">X71*24</f>
        <v>744</v>
      </c>
      <c r="AI71" s="0" t="n">
        <f aca="false">AB71*16</f>
        <v>368</v>
      </c>
      <c r="AJ71" s="0" t="n">
        <f aca="false">AB71*13</f>
        <v>299</v>
      </c>
      <c r="AK71" s="0" t="n">
        <f aca="false">AB71*14</f>
        <v>322</v>
      </c>
      <c r="AL71" s="0" t="n">
        <f aca="false">AB71*8</f>
        <v>184</v>
      </c>
      <c r="AM71" s="0" t="n">
        <f aca="false">AA71*24</f>
        <v>192</v>
      </c>
      <c r="AO71" s="68" t="n">
        <f aca="false">AI71/AH71</f>
        <v>0.494623655913979</v>
      </c>
      <c r="AP71" s="68" t="n">
        <f aca="false">AL71/AH71</f>
        <v>0.247311827956989</v>
      </c>
      <c r="AQ71" s="68" t="n">
        <f aca="false">1-(AO71+AP71)</f>
        <v>0.258064516129032</v>
      </c>
      <c r="AR71" s="48" t="n">
        <f aca="false">AQ71+AP71</f>
        <v>0.505376344086022</v>
      </c>
      <c r="BA71" s="68" t="n">
        <f aca="false">AK71/AD71</f>
        <v>0.432795698924731</v>
      </c>
      <c r="BB71" s="52" t="n">
        <f aca="false">A71</f>
        <v>38322</v>
      </c>
    </row>
    <row r="72" customFormat="false" ht="12.75" hidden="false" customHeight="false" outlineLevel="0" collapsed="false">
      <c r="A72" s="52" t="n">
        <v>38353</v>
      </c>
      <c r="B72" s="59" t="n">
        <v>24</v>
      </c>
      <c r="C72" s="59" t="n">
        <v>21.8870967741935</v>
      </c>
      <c r="D72" s="60" t="n">
        <v>24</v>
      </c>
      <c r="E72" s="60" t="n">
        <v>18</v>
      </c>
      <c r="F72" s="60" t="n">
        <f aca="false">((G72*AD72)-(B72*AE72))*(1/AF72)</f>
        <v>19.9651162790698</v>
      </c>
      <c r="G72" s="54" t="n">
        <f aca="false">((Z72*16*E72)+(B72*W72*16)+(X72*8*C72))/(X72*24)</f>
        <v>22.1344086021505</v>
      </c>
      <c r="H72" s="54" t="n">
        <f aca="false">(F72*AF72+B72*AE72)/AD72</f>
        <v>22.1344086021505</v>
      </c>
      <c r="I72" s="54" t="n">
        <f aca="false">B72*$C$5+F72*$C$6</f>
        <v>22.2246511627907</v>
      </c>
      <c r="K72" s="76" t="n">
        <v>3.97884065763496</v>
      </c>
      <c r="M72" s="71" t="n">
        <v>1.415745420895</v>
      </c>
      <c r="N72" s="71" t="n">
        <v>0.06264603870795</v>
      </c>
      <c r="O72" s="35" t="n">
        <f aca="false">1/((1+N72)^((A72-$B$2)/365))</f>
        <v>3.52784747047098</v>
      </c>
      <c r="Q72" s="54" t="n">
        <f aca="false">M72*B72</f>
        <v>33.97789010148</v>
      </c>
      <c r="R72" s="54" t="n">
        <f aca="false">C72*M72</f>
        <v>30.9865570347502</v>
      </c>
      <c r="S72" s="54" t="n">
        <f aca="false">M72*G72</f>
        <v>31.3366876227135</v>
      </c>
      <c r="T72" s="54" t="n">
        <f aca="false">F72*M72</f>
        <v>28.2655219497293</v>
      </c>
      <c r="V72" s="56" t="n">
        <f aca="false">Z72+AC72</f>
        <v>6</v>
      </c>
      <c r="W72" s="56" t="n">
        <f aca="false">X72-V72</f>
        <v>25</v>
      </c>
      <c r="X72" s="81" t="n">
        <f aca="false">A73-A72</f>
        <v>31</v>
      </c>
      <c r="Y72" s="78" t="n">
        <v>5</v>
      </c>
      <c r="Z72" s="78" t="n">
        <v>5</v>
      </c>
      <c r="AA72" s="56" t="n">
        <f aca="false">Y72+Z72</f>
        <v>10</v>
      </c>
      <c r="AB72" s="82" t="n">
        <f aca="false">X72-AA72</f>
        <v>21</v>
      </c>
      <c r="AC72" s="0" t="n">
        <v>1</v>
      </c>
      <c r="AD72" s="0" t="n">
        <f aca="false">X72*24</f>
        <v>744</v>
      </c>
      <c r="AE72" s="0" t="n">
        <f aca="false">W72*16</f>
        <v>400</v>
      </c>
      <c r="AF72" s="0" t="n">
        <f aca="false">V72*24+W72*8</f>
        <v>344</v>
      </c>
      <c r="AH72" s="0" t="n">
        <f aca="false">X72*24</f>
        <v>744</v>
      </c>
      <c r="AI72" s="0" t="n">
        <f aca="false">AB72*16</f>
        <v>336</v>
      </c>
      <c r="AJ72" s="0" t="n">
        <f aca="false">AB72*13</f>
        <v>273</v>
      </c>
      <c r="AK72" s="0" t="n">
        <f aca="false">AB72*14</f>
        <v>294</v>
      </c>
      <c r="AL72" s="0" t="n">
        <f aca="false">AB72*8</f>
        <v>168</v>
      </c>
      <c r="AM72" s="0" t="n">
        <f aca="false">AA72*24</f>
        <v>240</v>
      </c>
      <c r="AO72" s="68" t="n">
        <f aca="false">AI72/AH72</f>
        <v>0.451612903225806</v>
      </c>
      <c r="AP72" s="68" t="n">
        <f aca="false">AL72/AH72</f>
        <v>0.225806451612903</v>
      </c>
      <c r="AQ72" s="68" t="n">
        <f aca="false">1-(AO72+AP72)</f>
        <v>0.32258064516129</v>
      </c>
      <c r="AR72" s="48" t="n">
        <f aca="false">AQ72+AP72</f>
        <v>0.548387096774194</v>
      </c>
      <c r="BA72" s="68" t="n">
        <f aca="false">AK72/AD72</f>
        <v>0.395161290322581</v>
      </c>
      <c r="BB72" s="52" t="n">
        <f aca="false">A72</f>
        <v>38353</v>
      </c>
    </row>
    <row r="73" customFormat="false" ht="12.75" hidden="false" customHeight="false" outlineLevel="0" collapsed="false">
      <c r="A73" s="52" t="n">
        <v>38384</v>
      </c>
      <c r="B73" s="59" t="n">
        <v>22</v>
      </c>
      <c r="C73" s="59" t="n">
        <v>19.9642857142857</v>
      </c>
      <c r="D73" s="60" t="n">
        <v>22</v>
      </c>
      <c r="E73" s="60" t="n">
        <v>16.5</v>
      </c>
      <c r="F73" s="60" t="n">
        <f aca="false">((G73*AD73)-(B73*AE73))*(1/AF73)</f>
        <v>19.1944444444444</v>
      </c>
      <c r="G73" s="54" t="n">
        <f aca="false">((Z73*16*E73)+(B73*W73*16)+(X73*8*C73))/(X73*24)</f>
        <v>20.797619047619</v>
      </c>
      <c r="H73" s="54" t="n">
        <f aca="false">(F73*AF73+B73*AE73)/AD73</f>
        <v>20.797619047619</v>
      </c>
      <c r="I73" s="54" t="n">
        <f aca="false">B73*$C$5+F73*$C$6</f>
        <v>20.7655555555556</v>
      </c>
      <c r="K73" s="76" t="n">
        <v>3.81900038037898</v>
      </c>
      <c r="M73" s="71" t="n">
        <v>1.4146704153</v>
      </c>
      <c r="N73" s="71" t="n">
        <v>0.062652529822721</v>
      </c>
      <c r="O73" s="35" t="n">
        <f aca="false">1/((1+N73)^((A73-$B$2)/365))</f>
        <v>3.51013152521962</v>
      </c>
      <c r="Q73" s="54" t="n">
        <f aca="false">M73*B73</f>
        <v>31.1227491366</v>
      </c>
      <c r="R73" s="54" t="n">
        <f aca="false">C73*M73</f>
        <v>28.2428843625964</v>
      </c>
      <c r="S73" s="54" t="n">
        <f aca="false">M73*G73</f>
        <v>29.4217763753464</v>
      </c>
      <c r="T73" s="54" t="n">
        <f aca="false">F73*M73</f>
        <v>27.153812693675</v>
      </c>
      <c r="V73" s="56" t="n">
        <f aca="false">Z73+AC73</f>
        <v>4</v>
      </c>
      <c r="W73" s="56" t="n">
        <f aca="false">X73-V73</f>
        <v>24</v>
      </c>
      <c r="X73" s="81" t="n">
        <f aca="false">A74-A73</f>
        <v>28</v>
      </c>
      <c r="Y73" s="77" t="n">
        <v>4</v>
      </c>
      <c r="Z73" s="77" t="n">
        <v>4</v>
      </c>
      <c r="AA73" s="56" t="n">
        <f aca="false">Y73+Z73</f>
        <v>8</v>
      </c>
      <c r="AB73" s="82" t="n">
        <f aca="false">X73-AA73</f>
        <v>20</v>
      </c>
      <c r="AD73" s="0" t="n">
        <f aca="false">X73*24</f>
        <v>672</v>
      </c>
      <c r="AE73" s="0" t="n">
        <f aca="false">W73*16</f>
        <v>384</v>
      </c>
      <c r="AF73" s="0" t="n">
        <f aca="false">V73*24+W73*8</f>
        <v>288</v>
      </c>
      <c r="AH73" s="0" t="n">
        <f aca="false">X73*24</f>
        <v>672</v>
      </c>
      <c r="AI73" s="0" t="n">
        <f aca="false">AB73*16</f>
        <v>320</v>
      </c>
      <c r="AJ73" s="0" t="n">
        <f aca="false">AB73*13</f>
        <v>260</v>
      </c>
      <c r="AK73" s="0" t="n">
        <f aca="false">AB73*14</f>
        <v>280</v>
      </c>
      <c r="AL73" s="0" t="n">
        <f aca="false">AB73*8</f>
        <v>160</v>
      </c>
      <c r="AM73" s="0" t="n">
        <f aca="false">AA73*24</f>
        <v>192</v>
      </c>
      <c r="AO73" s="68" t="n">
        <f aca="false">AI73/AH73</f>
        <v>0.476190476190476</v>
      </c>
      <c r="AP73" s="68" t="n">
        <f aca="false">AL73/AH73</f>
        <v>0.238095238095238</v>
      </c>
      <c r="AQ73" s="68" t="n">
        <f aca="false">1-(AO73+AP73)</f>
        <v>0.285714285714286</v>
      </c>
      <c r="AR73" s="48" t="n">
        <f aca="false">AQ73+AP73</f>
        <v>0.523809523809524</v>
      </c>
      <c r="BA73" s="68" t="n">
        <f aca="false">AK73/AD73</f>
        <v>0.416666666666667</v>
      </c>
      <c r="BB73" s="52" t="n">
        <f aca="false">A73</f>
        <v>38384</v>
      </c>
    </row>
    <row r="74" customFormat="false" ht="12.75" hidden="false" customHeight="false" outlineLevel="0" collapsed="false">
      <c r="A74" s="52" t="n">
        <v>38412</v>
      </c>
      <c r="B74" s="59" t="n">
        <v>20</v>
      </c>
      <c r="C74" s="59" t="n">
        <v>17.8951612903226</v>
      </c>
      <c r="D74" s="60" t="n">
        <v>20</v>
      </c>
      <c r="E74" s="60" t="n">
        <v>15</v>
      </c>
      <c r="F74" s="60" t="n">
        <f aca="false">((G74*AD74)-(B74*AE74))*(1/AF74)</f>
        <v>17.3012820512821</v>
      </c>
      <c r="G74" s="54" t="n">
        <f aca="false">((Z74*16*E74)+(B74*W74*16)+(X74*8*C74))/(X74*24)</f>
        <v>18.8682795698925</v>
      </c>
      <c r="H74" s="54" t="n">
        <f aca="false">(F74*AF74+B74*AE74)/AD74</f>
        <v>18.8682795698925</v>
      </c>
      <c r="I74" s="54" t="n">
        <f aca="false">B74*$C$5+F74*$C$6</f>
        <v>18.8125641025641</v>
      </c>
      <c r="K74" s="76" t="n">
        <v>3.64109795807457</v>
      </c>
      <c r="M74" s="71" t="n">
        <v>1.413700957701</v>
      </c>
      <c r="N74" s="71" t="n">
        <v>0.062658392765106</v>
      </c>
      <c r="O74" s="35" t="n">
        <f aca="false">1/((1+N74)^((A74-$B$2)/365))</f>
        <v>3.49420338738268</v>
      </c>
      <c r="Q74" s="54" t="n">
        <f aca="false">M74*B74</f>
        <v>28.27401915402</v>
      </c>
      <c r="R74" s="54" t="n">
        <f aca="false">C74*M74</f>
        <v>25.2984066543429</v>
      </c>
      <c r="S74" s="54" t="n">
        <f aca="false">M74*G74</f>
        <v>26.6741048981272</v>
      </c>
      <c r="T74" s="54" t="n">
        <f aca="false">F74*M74</f>
        <v>24.4588390053526</v>
      </c>
      <c r="V74" s="56" t="n">
        <f aca="false">Z74+AC74</f>
        <v>4</v>
      </c>
      <c r="W74" s="56" t="n">
        <f aca="false">X74-V74</f>
        <v>27</v>
      </c>
      <c r="X74" s="81" t="n">
        <f aca="false">A75-A74</f>
        <v>31</v>
      </c>
      <c r="Y74" s="77" t="n">
        <v>4</v>
      </c>
      <c r="Z74" s="77" t="n">
        <v>4</v>
      </c>
      <c r="AA74" s="56" t="n">
        <f aca="false">Y74+Z74</f>
        <v>8</v>
      </c>
      <c r="AB74" s="82" t="n">
        <f aca="false">X74-AA74</f>
        <v>23</v>
      </c>
      <c r="AD74" s="0" t="n">
        <f aca="false">X74*24</f>
        <v>744</v>
      </c>
      <c r="AE74" s="0" t="n">
        <f aca="false">W74*16</f>
        <v>432</v>
      </c>
      <c r="AF74" s="0" t="n">
        <f aca="false">V74*24+W74*8</f>
        <v>312</v>
      </c>
      <c r="AH74" s="0" t="n">
        <f aca="false">X74*24</f>
        <v>744</v>
      </c>
      <c r="AI74" s="0" t="n">
        <f aca="false">AB74*16</f>
        <v>368</v>
      </c>
      <c r="AJ74" s="0" t="n">
        <f aca="false">AB74*13</f>
        <v>299</v>
      </c>
      <c r="AK74" s="0" t="n">
        <f aca="false">AB74*14</f>
        <v>322</v>
      </c>
      <c r="AL74" s="0" t="n">
        <f aca="false">AB74*8</f>
        <v>184</v>
      </c>
      <c r="AM74" s="0" t="n">
        <f aca="false">AA74*24</f>
        <v>192</v>
      </c>
      <c r="AO74" s="68" t="n">
        <f aca="false">AI74/AH74</f>
        <v>0.494623655913979</v>
      </c>
      <c r="AP74" s="68" t="n">
        <f aca="false">AL74/AH74</f>
        <v>0.247311827956989</v>
      </c>
      <c r="AQ74" s="68" t="n">
        <f aca="false">1-(AO74+AP74)</f>
        <v>0.258064516129032</v>
      </c>
      <c r="AR74" s="48" t="n">
        <f aca="false">AQ74+AP74</f>
        <v>0.505376344086022</v>
      </c>
      <c r="BA74" s="68" t="n">
        <f aca="false">AK74/AD74</f>
        <v>0.432795698924731</v>
      </c>
      <c r="BB74" s="52" t="n">
        <f aca="false">A74</f>
        <v>38412</v>
      </c>
    </row>
    <row r="75" customFormat="false" ht="12.75" hidden="false" customHeight="false" outlineLevel="0" collapsed="false">
      <c r="A75" s="52" t="n">
        <v>38443</v>
      </c>
      <c r="B75" s="59" t="n">
        <v>19.75</v>
      </c>
      <c r="C75" s="59" t="n">
        <v>11.1542</v>
      </c>
      <c r="D75" s="60" t="n">
        <v>19.75</v>
      </c>
      <c r="E75" s="60" t="n">
        <v>14.8125</v>
      </c>
      <c r="F75" s="60" t="n">
        <f aca="false">((G75*AD75)-(B75*AE75))*(1/AF75)</f>
        <v>11.9243684210526</v>
      </c>
      <c r="G75" s="54" t="n">
        <f aca="false">((Z75*16*E75)+(B75*W75*16)+(X75*8*C75))/(X75*24)</f>
        <v>16.4458444444444</v>
      </c>
      <c r="H75" s="54" t="n">
        <f aca="false">(F75*AF75+B75*AE75)/AD75</f>
        <v>16.4458444444444</v>
      </c>
      <c r="I75" s="54" t="n">
        <f aca="false">B75*$C$5+F75*$C$6</f>
        <v>16.3067221052632</v>
      </c>
      <c r="K75" s="76" t="n">
        <v>3.40188139508356</v>
      </c>
      <c r="M75" s="71" t="n">
        <v>1.412629304626</v>
      </c>
      <c r="N75" s="71" t="n">
        <v>0.062664883879902</v>
      </c>
      <c r="O75" s="35" t="n">
        <f aca="false">1/((1+N75)^((A75-$B$2)/365))</f>
        <v>3.47664952341693</v>
      </c>
      <c r="Q75" s="54" t="n">
        <f aca="false">M75*B75</f>
        <v>27.8994287663635</v>
      </c>
      <c r="R75" s="54" t="n">
        <f aca="false">C75*M75</f>
        <v>15.7567497896593</v>
      </c>
      <c r="S75" s="54" t="n">
        <f aca="false">M75*G75</f>
        <v>23.2318818015429</v>
      </c>
      <c r="T75" s="54" t="n">
        <f aca="false">F75*M75</f>
        <v>16.8447122707358</v>
      </c>
      <c r="V75" s="56" t="n">
        <f aca="false">Z75+AC75</f>
        <v>4</v>
      </c>
      <c r="W75" s="56" t="n">
        <f aca="false">X75-V75</f>
        <v>26</v>
      </c>
      <c r="X75" s="81" t="n">
        <f aca="false">A76-A75</f>
        <v>30</v>
      </c>
      <c r="Y75" s="77" t="n">
        <v>5</v>
      </c>
      <c r="Z75" s="77" t="n">
        <v>4</v>
      </c>
      <c r="AA75" s="56" t="n">
        <f aca="false">Y75+Z75</f>
        <v>9</v>
      </c>
      <c r="AB75" s="82" t="n">
        <f aca="false">X75-AA75</f>
        <v>21</v>
      </c>
      <c r="AD75" s="0" t="n">
        <f aca="false">X75*24</f>
        <v>720</v>
      </c>
      <c r="AE75" s="0" t="n">
        <f aca="false">W75*16</f>
        <v>416</v>
      </c>
      <c r="AF75" s="0" t="n">
        <f aca="false">V75*24+W75*8</f>
        <v>304</v>
      </c>
      <c r="AH75" s="0" t="n">
        <f aca="false">X75*24</f>
        <v>720</v>
      </c>
      <c r="AI75" s="0" t="n">
        <f aca="false">AB75*16</f>
        <v>336</v>
      </c>
      <c r="AJ75" s="0" t="n">
        <f aca="false">AB75*13</f>
        <v>273</v>
      </c>
      <c r="AK75" s="0" t="n">
        <f aca="false">AB75*14</f>
        <v>294</v>
      </c>
      <c r="AL75" s="0" t="n">
        <f aca="false">AB75*8</f>
        <v>168</v>
      </c>
      <c r="AM75" s="0" t="n">
        <f aca="false">AA75*24</f>
        <v>216</v>
      </c>
      <c r="AO75" s="68" t="n">
        <f aca="false">AI75/AH75</f>
        <v>0.466666666666667</v>
      </c>
      <c r="AP75" s="68" t="n">
        <f aca="false">AL75/AH75</f>
        <v>0.233333333333333</v>
      </c>
      <c r="AQ75" s="68" t="n">
        <f aca="false">1-(AO75+AP75)</f>
        <v>0.3</v>
      </c>
      <c r="AR75" s="48" t="n">
        <f aca="false">AQ75+AP75</f>
        <v>0.533333333333333</v>
      </c>
      <c r="BA75" s="68" t="n">
        <f aca="false">AK75/AD75</f>
        <v>0.408333333333333</v>
      </c>
      <c r="BB75" s="52" t="n">
        <f aca="false">A75</f>
        <v>38443</v>
      </c>
    </row>
    <row r="76" customFormat="false" ht="12.75" hidden="false" customHeight="false" outlineLevel="0" collapsed="false">
      <c r="A76" s="52" t="n">
        <v>38473</v>
      </c>
      <c r="B76" s="59" t="n">
        <v>19.25</v>
      </c>
      <c r="C76" s="59" t="n">
        <v>3.81854838709677</v>
      </c>
      <c r="D76" s="60" t="n">
        <v>18</v>
      </c>
      <c r="E76" s="60" t="n">
        <v>13.5</v>
      </c>
      <c r="F76" s="60" t="n">
        <f aca="false">((G76*AD76)-(B76*AE76))*(1/AF76)</f>
        <v>5.89244186046512</v>
      </c>
      <c r="G76" s="54" t="n">
        <f aca="false">((Z76*16*E76)+(B76*W76*16)+(X76*8*C76))/(X76*24)</f>
        <v>13.0739247311828</v>
      </c>
      <c r="H76" s="54" t="n">
        <f aca="false">(F76*AF76+B76*AE76)/AD76</f>
        <v>13.0739247311828</v>
      </c>
      <c r="I76" s="54" t="n">
        <f aca="false">B76*$C$5+F76*$C$6</f>
        <v>13.3726744186047</v>
      </c>
      <c r="K76" s="76" t="n">
        <v>3.36822117912291</v>
      </c>
      <c r="M76" s="71" t="n">
        <v>1.411593894373</v>
      </c>
      <c r="N76" s="71" t="n">
        <v>0.062671165603913</v>
      </c>
      <c r="O76" s="35" t="n">
        <f aca="false">1/((1+N76)^((A76-$B$2)/365))</f>
        <v>3.45974246157754</v>
      </c>
      <c r="Q76" s="54" t="n">
        <f aca="false">M76*B76</f>
        <v>27.1731824666803</v>
      </c>
      <c r="R76" s="54" t="n">
        <f aca="false">C76*M76</f>
        <v>5.39023958859367</v>
      </c>
      <c r="S76" s="54" t="n">
        <f aca="false">M76*G76</f>
        <v>18.4550723260298</v>
      </c>
      <c r="T76" s="54" t="n">
        <f aca="false">F76*M76</f>
        <v>8.31773495318044</v>
      </c>
      <c r="V76" s="56" t="n">
        <f aca="false">Z76+AC76</f>
        <v>6</v>
      </c>
      <c r="W76" s="56" t="n">
        <f aca="false">X76-V76</f>
        <v>25</v>
      </c>
      <c r="X76" s="81" t="n">
        <f aca="false">A77-A76</f>
        <v>31</v>
      </c>
      <c r="Y76" s="77" t="n">
        <v>4</v>
      </c>
      <c r="Z76" s="77" t="n">
        <v>5</v>
      </c>
      <c r="AA76" s="56" t="n">
        <f aca="false">Y76+Z76</f>
        <v>9</v>
      </c>
      <c r="AB76" s="82" t="n">
        <f aca="false">X76-AA76</f>
        <v>22</v>
      </c>
      <c r="AC76" s="0" t="n">
        <v>1</v>
      </c>
      <c r="AD76" s="0" t="n">
        <f aca="false">X76*24</f>
        <v>744</v>
      </c>
      <c r="AE76" s="0" t="n">
        <f aca="false">W76*16</f>
        <v>400</v>
      </c>
      <c r="AF76" s="0" t="n">
        <f aca="false">V76*24+W76*8</f>
        <v>344</v>
      </c>
      <c r="AH76" s="0" t="n">
        <f aca="false">X76*24</f>
        <v>744</v>
      </c>
      <c r="AI76" s="0" t="n">
        <f aca="false">AB76*16</f>
        <v>352</v>
      </c>
      <c r="AJ76" s="0" t="n">
        <f aca="false">AB76*13</f>
        <v>286</v>
      </c>
      <c r="AK76" s="0" t="n">
        <f aca="false">AB76*14</f>
        <v>308</v>
      </c>
      <c r="AL76" s="0" t="n">
        <f aca="false">AB76*8</f>
        <v>176</v>
      </c>
      <c r="AM76" s="0" t="n">
        <f aca="false">AA76*24</f>
        <v>216</v>
      </c>
      <c r="AO76" s="68" t="n">
        <f aca="false">AI76/AH76</f>
        <v>0.473118279569893</v>
      </c>
      <c r="AP76" s="68" t="n">
        <f aca="false">AL76/AH76</f>
        <v>0.236559139784946</v>
      </c>
      <c r="AQ76" s="68" t="n">
        <f aca="false">1-(AO76+AP76)</f>
        <v>0.290322580645161</v>
      </c>
      <c r="AR76" s="48" t="n">
        <f aca="false">AQ76+AP76</f>
        <v>0.526881720430108</v>
      </c>
      <c r="BA76" s="68" t="n">
        <f aca="false">AK76/AD76</f>
        <v>0.413978494623656</v>
      </c>
      <c r="BB76" s="52" t="n">
        <f aca="false">A76</f>
        <v>38473</v>
      </c>
    </row>
    <row r="77" customFormat="false" ht="12.75" hidden="false" customHeight="false" outlineLevel="0" collapsed="false">
      <c r="A77" s="52" t="n">
        <v>38504</v>
      </c>
      <c r="B77" s="59" t="n">
        <v>20.25</v>
      </c>
      <c r="C77" s="59" t="n">
        <v>3.45</v>
      </c>
      <c r="D77" s="60" t="n">
        <v>19</v>
      </c>
      <c r="E77" s="60" t="n">
        <v>14.25</v>
      </c>
      <c r="F77" s="60" t="n">
        <f aca="false">((G77*AD77)-(B77*AE77))*(1/AF77)</f>
        <v>5.72368421052632</v>
      </c>
      <c r="G77" s="54" t="n">
        <f aca="false">((Z77*16*E77)+(B77*W77*16)+(X77*8*C77))/(X77*24)</f>
        <v>14.1166666666667</v>
      </c>
      <c r="H77" s="54" t="n">
        <f aca="false">(F77*AF77+B77*AE77)/AD77</f>
        <v>14.1166666666667</v>
      </c>
      <c r="I77" s="54" t="n">
        <f aca="false">B77*$C$5+F77*$C$6</f>
        <v>13.8584210526316</v>
      </c>
      <c r="K77" s="76" t="n">
        <v>3.37440945635637</v>
      </c>
      <c r="M77" s="71" t="n">
        <v>1.410525696896</v>
      </c>
      <c r="N77" s="71" t="n">
        <v>0.062677656718737</v>
      </c>
      <c r="O77" s="35" t="n">
        <f aca="false">1/((1+N77)^((A77-$B$2)/365))</f>
        <v>3.44235468592535</v>
      </c>
      <c r="Q77" s="54" t="n">
        <f aca="false">M77*B77</f>
        <v>28.563145362144</v>
      </c>
      <c r="R77" s="54" t="n">
        <f aca="false">C77*M77</f>
        <v>4.8663136542912</v>
      </c>
      <c r="S77" s="54" t="n">
        <f aca="false">M77*G77</f>
        <v>19.9119210878485</v>
      </c>
      <c r="T77" s="54" t="n">
        <f aca="false">F77*M77</f>
        <v>8.07340365986526</v>
      </c>
      <c r="V77" s="56" t="n">
        <f aca="false">Z77+AC77</f>
        <v>4</v>
      </c>
      <c r="W77" s="56" t="n">
        <f aca="false">X77-V77</f>
        <v>26</v>
      </c>
      <c r="X77" s="81" t="n">
        <f aca="false">A78-A77</f>
        <v>30</v>
      </c>
      <c r="Y77" s="77" t="n">
        <v>4</v>
      </c>
      <c r="Z77" s="77" t="n">
        <v>4</v>
      </c>
      <c r="AA77" s="56" t="n">
        <f aca="false">Y77+Z77</f>
        <v>8</v>
      </c>
      <c r="AB77" s="82" t="n">
        <f aca="false">X77-AA77</f>
        <v>22</v>
      </c>
      <c r="AD77" s="0" t="n">
        <f aca="false">X77*24</f>
        <v>720</v>
      </c>
      <c r="AE77" s="0" t="n">
        <f aca="false">W77*16</f>
        <v>416</v>
      </c>
      <c r="AF77" s="0" t="n">
        <f aca="false">V77*24+W77*8</f>
        <v>304</v>
      </c>
      <c r="AH77" s="0" t="n">
        <f aca="false">X77*24</f>
        <v>720</v>
      </c>
      <c r="AI77" s="0" t="n">
        <f aca="false">AB77*16</f>
        <v>352</v>
      </c>
      <c r="AJ77" s="0" t="n">
        <f aca="false">AB77*13</f>
        <v>286</v>
      </c>
      <c r="AK77" s="0" t="n">
        <f aca="false">AB77*14</f>
        <v>308</v>
      </c>
      <c r="AL77" s="0" t="n">
        <f aca="false">AB77*8</f>
        <v>176</v>
      </c>
      <c r="AM77" s="0" t="n">
        <f aca="false">AA77*24</f>
        <v>192</v>
      </c>
      <c r="AO77" s="68" t="n">
        <f aca="false">AI77/AH77</f>
        <v>0.488888888888889</v>
      </c>
      <c r="AP77" s="68" t="n">
        <f aca="false">AL77/AH77</f>
        <v>0.244444444444444</v>
      </c>
      <c r="AQ77" s="68" t="n">
        <f aca="false">1-(AO77+AP77)</f>
        <v>0.266666666666667</v>
      </c>
      <c r="AR77" s="48" t="n">
        <f aca="false">AQ77+AP77</f>
        <v>0.511111111111111</v>
      </c>
      <c r="BA77" s="68" t="n">
        <f aca="false">AK77/AD77</f>
        <v>0.427777777777778</v>
      </c>
      <c r="BB77" s="52" t="n">
        <f aca="false">A77</f>
        <v>38504</v>
      </c>
    </row>
    <row r="78" customFormat="false" ht="12.75" hidden="false" customHeight="false" outlineLevel="0" collapsed="false">
      <c r="A78" s="52" t="n">
        <v>38534</v>
      </c>
      <c r="B78" s="59" t="n">
        <v>49.6</v>
      </c>
      <c r="C78" s="59" t="n">
        <v>12.7096774193548</v>
      </c>
      <c r="D78" s="60" t="n">
        <v>48.5125</v>
      </c>
      <c r="E78" s="60" t="n">
        <v>36.384375</v>
      </c>
      <c r="F78" s="60" t="n">
        <f aca="false">((G78*AD78)-(B78*AE78))*(1/AF78)</f>
        <v>17.6242732558139</v>
      </c>
      <c r="G78" s="54" t="n">
        <f aca="false">((Z78*16*E78)+(B78*W78*16)+(X78*8*C78))/(X78*24)</f>
        <v>34.8155241935484</v>
      </c>
      <c r="H78" s="54" t="n">
        <f aca="false">(F78*AF78+B78*AE78)/AD78</f>
        <v>34.8155241935484</v>
      </c>
      <c r="I78" s="54" t="n">
        <f aca="false">B78*$C$5+F78*$C$6</f>
        <v>35.5306802325581</v>
      </c>
      <c r="K78" s="76" t="n">
        <v>3.4540402197124</v>
      </c>
      <c r="M78" s="71" t="n">
        <v>1.409453662276</v>
      </c>
      <c r="N78" s="71" t="n">
        <v>0.062687342227039</v>
      </c>
      <c r="O78" s="35" t="n">
        <f aca="false">1/((1+N78)^((A78-$B$2)/365))</f>
        <v>3.42582984507014</v>
      </c>
      <c r="Q78" s="54" t="n">
        <f aca="false">M78*B78</f>
        <v>69.9089016488896</v>
      </c>
      <c r="R78" s="54" t="n">
        <f aca="false">C78*M78</f>
        <v>17.9137013850563</v>
      </c>
      <c r="S78" s="54" t="n">
        <f aca="false">M78*G78</f>
        <v>49.0708680786555</v>
      </c>
      <c r="T78" s="54" t="n">
        <f aca="false">F78*M78</f>
        <v>24.8405964853599</v>
      </c>
      <c r="V78" s="56" t="n">
        <f aca="false">Z78+AC78</f>
        <v>6</v>
      </c>
      <c r="W78" s="56" t="n">
        <f aca="false">X78-V78</f>
        <v>25</v>
      </c>
      <c r="X78" s="81" t="n">
        <f aca="false">A79-A78</f>
        <v>31</v>
      </c>
      <c r="Y78" s="77" t="n">
        <v>5</v>
      </c>
      <c r="Z78" s="77" t="n">
        <v>5</v>
      </c>
      <c r="AA78" s="56" t="n">
        <f aca="false">Y78+Z78</f>
        <v>10</v>
      </c>
      <c r="AB78" s="82" t="n">
        <f aca="false">X78-AA78</f>
        <v>21</v>
      </c>
      <c r="AC78" s="0" t="n">
        <v>1</v>
      </c>
      <c r="AD78" s="0" t="n">
        <f aca="false">X78*24</f>
        <v>744</v>
      </c>
      <c r="AE78" s="0" t="n">
        <f aca="false">W78*16</f>
        <v>400</v>
      </c>
      <c r="AF78" s="0" t="n">
        <f aca="false">V78*24+W78*8</f>
        <v>344</v>
      </c>
      <c r="AH78" s="0" t="n">
        <f aca="false">X78*24</f>
        <v>744</v>
      </c>
      <c r="AI78" s="0" t="n">
        <f aca="false">AB78*16</f>
        <v>336</v>
      </c>
      <c r="AJ78" s="0" t="n">
        <f aca="false">AB78*13</f>
        <v>273</v>
      </c>
      <c r="AK78" s="0" t="n">
        <f aca="false">AB78*14</f>
        <v>294</v>
      </c>
      <c r="AL78" s="0" t="n">
        <f aca="false">AB78*8</f>
        <v>168</v>
      </c>
      <c r="AM78" s="0" t="n">
        <f aca="false">AA78*24</f>
        <v>240</v>
      </c>
      <c r="AO78" s="68" t="n">
        <f aca="false">AI78/AH78</f>
        <v>0.451612903225806</v>
      </c>
      <c r="AP78" s="68" t="n">
        <f aca="false">AL78/AH78</f>
        <v>0.225806451612903</v>
      </c>
      <c r="AQ78" s="68" t="n">
        <f aca="false">1-(AO78+AP78)</f>
        <v>0.32258064516129</v>
      </c>
      <c r="AR78" s="48" t="n">
        <f aca="false">AQ78+AP78</f>
        <v>0.548387096774194</v>
      </c>
      <c r="BA78" s="68" t="n">
        <f aca="false">AK78/AD78</f>
        <v>0.395161290322581</v>
      </c>
      <c r="BB78" s="52" t="n">
        <f aca="false">A78</f>
        <v>38534</v>
      </c>
    </row>
    <row r="79" customFormat="false" ht="12.75" hidden="false" customHeight="false" outlineLevel="0" collapsed="false">
      <c r="A79" s="52" t="n">
        <v>38565</v>
      </c>
      <c r="B79" s="59" t="n">
        <v>63.1</v>
      </c>
      <c r="C79" s="59" t="n">
        <v>21</v>
      </c>
      <c r="D79" s="60" t="n">
        <v>62.0125</v>
      </c>
      <c r="E79" s="60" t="n">
        <v>46.509375</v>
      </c>
      <c r="F79" s="60" t="n">
        <f aca="false">((G79*AD79)-(B79*AE79))*(1/AF79)</f>
        <v>26.2326923076923</v>
      </c>
      <c r="G79" s="54" t="n">
        <f aca="false">((Z79*16*E79)+(B79*W79*16)+(X79*8*C79))/(X79*24)</f>
        <v>47.6395161290323</v>
      </c>
      <c r="H79" s="54" t="n">
        <f aca="false">(F79*AF79+B79*AE79)/AD79</f>
        <v>47.6395161290323</v>
      </c>
      <c r="I79" s="54" t="n">
        <f aca="false">B79*$C$5+F79*$C$6</f>
        <v>46.8783846153846</v>
      </c>
      <c r="K79" s="76" t="n">
        <v>3.44071542014929</v>
      </c>
      <c r="M79" s="71" t="n">
        <v>1.408252853037</v>
      </c>
      <c r="N79" s="71" t="n">
        <v>0.062700428173937</v>
      </c>
      <c r="O79" s="35" t="n">
        <f aca="false">1/((1+N79)^((A79-$B$2)/365))</f>
        <v>3.40903123336407</v>
      </c>
      <c r="Q79" s="54" t="n">
        <f aca="false">M79*B79</f>
        <v>88.8607550266347</v>
      </c>
      <c r="R79" s="54" t="n">
        <f aca="false">C79*M79</f>
        <v>29.573309913777</v>
      </c>
      <c r="S79" s="54" t="n">
        <f aca="false">M79*G79</f>
        <v>67.0884845060119</v>
      </c>
      <c r="T79" s="54" t="n">
        <f aca="false">F79*M79</f>
        <v>36.9422637851495</v>
      </c>
      <c r="V79" s="56" t="n">
        <f aca="false">Z79+AC79</f>
        <v>4</v>
      </c>
      <c r="W79" s="56" t="n">
        <f aca="false">X79-V79</f>
        <v>27</v>
      </c>
      <c r="X79" s="81" t="n">
        <f aca="false">A80-A79</f>
        <v>31</v>
      </c>
      <c r="Y79" s="77" t="n">
        <v>4</v>
      </c>
      <c r="Z79" s="77" t="n">
        <v>4</v>
      </c>
      <c r="AA79" s="56" t="n">
        <f aca="false">Y79+Z79</f>
        <v>8</v>
      </c>
      <c r="AB79" s="82" t="n">
        <f aca="false">X79-AA79</f>
        <v>23</v>
      </c>
      <c r="AD79" s="0" t="n">
        <f aca="false">X79*24</f>
        <v>744</v>
      </c>
      <c r="AE79" s="0" t="n">
        <f aca="false">W79*16</f>
        <v>432</v>
      </c>
      <c r="AF79" s="0" t="n">
        <f aca="false">V79*24+W79*8</f>
        <v>312</v>
      </c>
      <c r="AH79" s="0" t="n">
        <f aca="false">X79*24</f>
        <v>744</v>
      </c>
      <c r="AI79" s="0" t="n">
        <f aca="false">AB79*16</f>
        <v>368</v>
      </c>
      <c r="AJ79" s="0" t="n">
        <f aca="false">AB79*13</f>
        <v>299</v>
      </c>
      <c r="AK79" s="0" t="n">
        <f aca="false">AB79*14</f>
        <v>322</v>
      </c>
      <c r="AL79" s="0" t="n">
        <f aca="false">AB79*8</f>
        <v>184</v>
      </c>
      <c r="AM79" s="0" t="n">
        <f aca="false">AA79*24</f>
        <v>192</v>
      </c>
      <c r="AO79" s="68" t="n">
        <f aca="false">AI79/AH79</f>
        <v>0.494623655913979</v>
      </c>
      <c r="AP79" s="68" t="n">
        <f aca="false">AL79/AH79</f>
        <v>0.247311827956989</v>
      </c>
      <c r="AQ79" s="68" t="n">
        <f aca="false">1-(AO79+AP79)</f>
        <v>0.258064516129032</v>
      </c>
      <c r="AR79" s="48" t="n">
        <f aca="false">AQ79+AP79</f>
        <v>0.505376344086022</v>
      </c>
      <c r="BA79" s="68" t="n">
        <f aca="false">AK79/AD79</f>
        <v>0.432795698924731</v>
      </c>
      <c r="BB79" s="52" t="n">
        <f aca="false">A79</f>
        <v>38565</v>
      </c>
    </row>
    <row r="80" customFormat="false" ht="12.75" hidden="false" customHeight="false" outlineLevel="0" collapsed="false">
      <c r="A80" s="52" t="n">
        <v>38596</v>
      </c>
      <c r="B80" s="59" t="n">
        <v>50.5</v>
      </c>
      <c r="C80" s="59" t="n">
        <v>21.75</v>
      </c>
      <c r="D80" s="60" t="n">
        <v>48.25</v>
      </c>
      <c r="E80" s="60" t="n">
        <v>36.1875</v>
      </c>
      <c r="F80" s="60" t="n">
        <f aca="false">((G80*AD80)-(B80*AE80))*(1/AF80)</f>
        <v>23.55</v>
      </c>
      <c r="G80" s="54" t="n">
        <f aca="false">((Z80*16*E80)+(B80*W80*16)+(X80*8*C80))/(X80*24)</f>
        <v>38.5222222222222</v>
      </c>
      <c r="H80" s="54" t="n">
        <f aca="false">(F80*AF80+B80*AE80)/AD80</f>
        <v>38.5222222222222</v>
      </c>
      <c r="I80" s="54" t="n">
        <f aca="false">B80*$C$5+F80*$C$6</f>
        <v>38.642</v>
      </c>
      <c r="K80" s="76" t="n">
        <v>3.42210714831598</v>
      </c>
      <c r="M80" s="71" t="n">
        <v>1.407049532755</v>
      </c>
      <c r="N80" s="71" t="n">
        <v>0.06271351412089</v>
      </c>
      <c r="O80" s="35" t="n">
        <f aca="false">1/((1+N80)^((A80-$B$2)/365))</f>
        <v>3.39230788795512</v>
      </c>
      <c r="Q80" s="54" t="n">
        <f aca="false">M80*B80</f>
        <v>71.0560014041275</v>
      </c>
      <c r="R80" s="54" t="n">
        <f aca="false">C80*M80</f>
        <v>30.6033273374213</v>
      </c>
      <c r="S80" s="54" t="n">
        <f aca="false">M80*G80</f>
        <v>54.2026747784621</v>
      </c>
      <c r="T80" s="54" t="n">
        <f aca="false">F80*M80</f>
        <v>33.1360164963803</v>
      </c>
      <c r="V80" s="56" t="n">
        <f aca="false">Z80+AC80</f>
        <v>5</v>
      </c>
      <c r="W80" s="56" t="n">
        <f aca="false">X80-V80</f>
        <v>25</v>
      </c>
      <c r="X80" s="81" t="n">
        <f aca="false">A81-A80</f>
        <v>30</v>
      </c>
      <c r="Y80" s="77" t="n">
        <v>4</v>
      </c>
      <c r="Z80" s="77" t="n">
        <v>4</v>
      </c>
      <c r="AA80" s="56" t="n">
        <f aca="false">Y80+Z80</f>
        <v>8</v>
      </c>
      <c r="AB80" s="82" t="n">
        <f aca="false">X80-AA80</f>
        <v>22</v>
      </c>
      <c r="AC80" s="0" t="n">
        <v>1</v>
      </c>
      <c r="AD80" s="0" t="n">
        <f aca="false">X80*24</f>
        <v>720</v>
      </c>
      <c r="AE80" s="0" t="n">
        <f aca="false">W80*16</f>
        <v>400</v>
      </c>
      <c r="AF80" s="0" t="n">
        <f aca="false">V80*24+W80*8</f>
        <v>320</v>
      </c>
      <c r="AH80" s="0" t="n">
        <f aca="false">X80*24</f>
        <v>720</v>
      </c>
      <c r="AI80" s="0" t="n">
        <f aca="false">AB80*16</f>
        <v>352</v>
      </c>
      <c r="AJ80" s="0" t="n">
        <f aca="false">AB80*13</f>
        <v>286</v>
      </c>
      <c r="AK80" s="0" t="n">
        <f aca="false">AB80*14</f>
        <v>308</v>
      </c>
      <c r="AL80" s="0" t="n">
        <f aca="false">AB80*8</f>
        <v>176</v>
      </c>
      <c r="AM80" s="0" t="n">
        <f aca="false">AA80*24</f>
        <v>192</v>
      </c>
      <c r="AO80" s="68" t="n">
        <f aca="false">AI80/AH80</f>
        <v>0.488888888888889</v>
      </c>
      <c r="AP80" s="68" t="n">
        <f aca="false">AL80/AH80</f>
        <v>0.244444444444444</v>
      </c>
      <c r="AQ80" s="68" t="n">
        <f aca="false">1-(AO80+AP80)</f>
        <v>0.266666666666667</v>
      </c>
      <c r="AR80" s="48" t="n">
        <f aca="false">AQ80+AP80</f>
        <v>0.511111111111111</v>
      </c>
      <c r="BA80" s="68" t="n">
        <f aca="false">AK80/AD80</f>
        <v>0.427777777777778</v>
      </c>
      <c r="BB80" s="52" t="n">
        <f aca="false">A80</f>
        <v>38596</v>
      </c>
    </row>
    <row r="81" customFormat="false" ht="12.75" hidden="false" customHeight="false" outlineLevel="0" collapsed="false">
      <c r="A81" s="52" t="n">
        <v>38626</v>
      </c>
      <c r="B81" s="59" t="n">
        <v>34.75</v>
      </c>
      <c r="C81" s="59" t="n">
        <v>22.1129032258065</v>
      </c>
      <c r="D81" s="60" t="n">
        <v>33.5</v>
      </c>
      <c r="E81" s="60" t="n">
        <v>25.125</v>
      </c>
      <c r="F81" s="60" t="n">
        <f aca="false">((G81*AD81)-(B81*AE81))*(1/AF81)</f>
        <v>22.8475609756098</v>
      </c>
      <c r="G81" s="54" t="n">
        <f aca="false">((Z81*16*E81)+(B81*W81*16)+(X81*8*C81))/(X81*24)</f>
        <v>29.502688172043</v>
      </c>
      <c r="H81" s="54" t="n">
        <f aca="false">(F81*AF81+B81*AE81)/AD81</f>
        <v>29.502688172043</v>
      </c>
      <c r="I81" s="54" t="n">
        <f aca="false">B81*$C$5+F81*$C$6</f>
        <v>29.5129268292683</v>
      </c>
      <c r="K81" s="76" t="n">
        <v>3.44073614442003</v>
      </c>
      <c r="M81" s="71" t="n">
        <v>1.405882646219</v>
      </c>
      <c r="N81" s="71" t="n">
        <v>0.062726177940577</v>
      </c>
      <c r="O81" s="35" t="n">
        <f aca="false">1/((1+N81)^((A81-$B$2)/365))</f>
        <v>3.37619538701308</v>
      </c>
      <c r="Q81" s="54" t="n">
        <f aca="false">M81*B81</f>
        <v>48.8544219561103</v>
      </c>
      <c r="R81" s="54" t="n">
        <f aca="false">C81*M81</f>
        <v>31.0881469026814</v>
      </c>
      <c r="S81" s="54" t="n">
        <f aca="false">M81*G81</f>
        <v>41.4773173178858</v>
      </c>
      <c r="T81" s="54" t="n">
        <f aca="false">F81*M81</f>
        <v>32.1209894840402</v>
      </c>
      <c r="V81" s="56" t="n">
        <f aca="false">Z81+AC81</f>
        <v>5</v>
      </c>
      <c r="W81" s="56" t="n">
        <f aca="false">X81-V81</f>
        <v>26</v>
      </c>
      <c r="X81" s="81" t="n">
        <f aca="false">A82-A81</f>
        <v>31</v>
      </c>
      <c r="Y81" s="77" t="n">
        <v>5</v>
      </c>
      <c r="Z81" s="77" t="n">
        <v>5</v>
      </c>
      <c r="AA81" s="56" t="n">
        <f aca="false">Y81+Z81</f>
        <v>10</v>
      </c>
      <c r="AB81" s="82" t="n">
        <f aca="false">X81-AA81</f>
        <v>21</v>
      </c>
      <c r="AD81" s="0" t="n">
        <f aca="false">X81*24</f>
        <v>744</v>
      </c>
      <c r="AE81" s="0" t="n">
        <f aca="false">W81*16</f>
        <v>416</v>
      </c>
      <c r="AF81" s="0" t="n">
        <f aca="false">V81*24+W81*8</f>
        <v>328</v>
      </c>
      <c r="AH81" s="0" t="n">
        <f aca="false">X81*24</f>
        <v>744</v>
      </c>
      <c r="AI81" s="0" t="n">
        <f aca="false">AB81*16</f>
        <v>336</v>
      </c>
      <c r="AJ81" s="0" t="n">
        <f aca="false">AB81*13</f>
        <v>273</v>
      </c>
      <c r="AK81" s="0" t="n">
        <f aca="false">AB81*14</f>
        <v>294</v>
      </c>
      <c r="AL81" s="0" t="n">
        <f aca="false">AB81*8</f>
        <v>168</v>
      </c>
      <c r="AM81" s="0" t="n">
        <f aca="false">AA81*24</f>
        <v>240</v>
      </c>
      <c r="AO81" s="68" t="n">
        <f aca="false">AI81/AH81</f>
        <v>0.451612903225806</v>
      </c>
      <c r="AP81" s="68" t="n">
        <f aca="false">AL81/AH81</f>
        <v>0.225806451612903</v>
      </c>
      <c r="AQ81" s="68" t="n">
        <f aca="false">1-(AO81+AP81)</f>
        <v>0.32258064516129</v>
      </c>
      <c r="AR81" s="48" t="n">
        <f aca="false">AQ81+AP81</f>
        <v>0.548387096774194</v>
      </c>
      <c r="BA81" s="68" t="n">
        <f aca="false">AK81/AD81</f>
        <v>0.395161290322581</v>
      </c>
      <c r="BB81" s="52" t="n">
        <f aca="false">A81</f>
        <v>38626</v>
      </c>
    </row>
    <row r="82" customFormat="false" ht="12.75" hidden="false" customHeight="false" outlineLevel="0" collapsed="false">
      <c r="A82" s="52" t="n">
        <v>38657</v>
      </c>
      <c r="B82" s="59" t="n">
        <v>30.75</v>
      </c>
      <c r="C82" s="59" t="n">
        <v>22.1875</v>
      </c>
      <c r="D82" s="60" t="n">
        <v>29.5</v>
      </c>
      <c r="E82" s="60" t="n">
        <v>22.125</v>
      </c>
      <c r="F82" s="60" t="n">
        <f aca="false">((G82*AD82)-(B82*AE82))*(1/AF82)</f>
        <v>21.065625</v>
      </c>
      <c r="G82" s="54" t="n">
        <f aca="false">((Z82*16*E82)+(B82*W82*16)+(X82*8*C82))/(X82*24)</f>
        <v>26.4458333333333</v>
      </c>
      <c r="H82" s="54" t="n">
        <f aca="false">(F82*AF82+B82*AE82)/AD82</f>
        <v>26.4458333333333</v>
      </c>
      <c r="I82" s="54" t="n">
        <f aca="false">B82*$C$5+F82*$C$6</f>
        <v>26.488875</v>
      </c>
      <c r="K82" s="76" t="n">
        <v>3.52813185068535</v>
      </c>
      <c r="M82" s="71" t="n">
        <v>1.404674409079</v>
      </c>
      <c r="N82" s="71" t="n">
        <v>0.062739263887644</v>
      </c>
      <c r="O82" s="35" t="n">
        <f aca="false">1/((1+N82)^((A82-$B$2)/365))</f>
        <v>3.3596192735478</v>
      </c>
      <c r="Q82" s="54" t="n">
        <f aca="false">M82*B82</f>
        <v>43.1937380791793</v>
      </c>
      <c r="R82" s="54" t="n">
        <f aca="false">C82*M82</f>
        <v>31.1662134514403</v>
      </c>
      <c r="S82" s="54" t="n">
        <f aca="false">M82*G82</f>
        <v>37.1477853101017</v>
      </c>
      <c r="T82" s="54" t="n">
        <f aca="false">F82*M82</f>
        <v>29.5903443487548</v>
      </c>
      <c r="V82" s="56" t="n">
        <f aca="false">Z82+AC82</f>
        <v>5</v>
      </c>
      <c r="W82" s="56" t="n">
        <f aca="false">X82-V82</f>
        <v>25</v>
      </c>
      <c r="X82" s="81" t="n">
        <f aca="false">A83-A82</f>
        <v>30</v>
      </c>
      <c r="Y82" s="77" t="n">
        <v>4</v>
      </c>
      <c r="Z82" s="77" t="n">
        <v>4</v>
      </c>
      <c r="AA82" s="56" t="n">
        <f aca="false">Y82+Z82</f>
        <v>8</v>
      </c>
      <c r="AB82" s="82" t="n">
        <f aca="false">X82-AA82</f>
        <v>22</v>
      </c>
      <c r="AC82" s="0" t="n">
        <v>1</v>
      </c>
      <c r="AD82" s="0" t="n">
        <f aca="false">X82*24</f>
        <v>720</v>
      </c>
      <c r="AE82" s="0" t="n">
        <f aca="false">W82*16</f>
        <v>400</v>
      </c>
      <c r="AF82" s="0" t="n">
        <f aca="false">V82*24+W82*8</f>
        <v>320</v>
      </c>
      <c r="AH82" s="0" t="n">
        <f aca="false">X82*24</f>
        <v>720</v>
      </c>
      <c r="AI82" s="0" t="n">
        <f aca="false">AB82*16</f>
        <v>352</v>
      </c>
      <c r="AJ82" s="0" t="n">
        <f aca="false">AB82*13</f>
        <v>286</v>
      </c>
      <c r="AK82" s="0" t="n">
        <f aca="false">AB82*14</f>
        <v>308</v>
      </c>
      <c r="AL82" s="0" t="n">
        <f aca="false">AB82*8</f>
        <v>176</v>
      </c>
      <c r="AM82" s="0" t="n">
        <f aca="false">AA82*24</f>
        <v>192</v>
      </c>
      <c r="AO82" s="68" t="n">
        <f aca="false">AI82/AH82</f>
        <v>0.488888888888889</v>
      </c>
      <c r="AP82" s="68" t="n">
        <f aca="false">AL82/AH82</f>
        <v>0.244444444444444</v>
      </c>
      <c r="AQ82" s="68" t="n">
        <f aca="false">1-(AO82+AP82)</f>
        <v>0.266666666666667</v>
      </c>
      <c r="AR82" s="48" t="n">
        <f aca="false">AQ82+AP82</f>
        <v>0.511111111111111</v>
      </c>
      <c r="BA82" s="68" t="n">
        <f aca="false">AK82/AD82</f>
        <v>0.427777777777778</v>
      </c>
      <c r="BB82" s="52" t="n">
        <f aca="false">A82</f>
        <v>38657</v>
      </c>
    </row>
    <row r="83" customFormat="false" ht="12.75" hidden="false" customHeight="false" outlineLevel="0" collapsed="false">
      <c r="A83" s="52" t="n">
        <v>38687</v>
      </c>
      <c r="B83" s="59" t="n">
        <v>30.75</v>
      </c>
      <c r="C83" s="59" t="n">
        <v>19.3629032258065</v>
      </c>
      <c r="D83" s="60" t="n">
        <v>29.5</v>
      </c>
      <c r="E83" s="60" t="n">
        <v>22.125</v>
      </c>
      <c r="F83" s="60" t="n">
        <f aca="false">((G83*AD83)-(B83*AE83))*(1/AF83)</f>
        <v>18.9573170731707</v>
      </c>
      <c r="G83" s="54" t="n">
        <f aca="false">((Z83*16*E83)+(B83*W83*16)+(X83*8*C83))/(X83*24)</f>
        <v>25.5510752688172</v>
      </c>
      <c r="H83" s="54" t="n">
        <f aca="false">(F83*AF83+B83*AE83)/AD83</f>
        <v>25.5510752688172</v>
      </c>
      <c r="I83" s="54" t="n">
        <f aca="false">B83*$C$5+F83*$C$6</f>
        <v>25.5612195121951</v>
      </c>
      <c r="K83" s="76" t="n">
        <v>3.64989296056877</v>
      </c>
      <c r="M83" s="71" t="n">
        <v>1.403502779864</v>
      </c>
      <c r="N83" s="71" t="n">
        <v>0.062751927707439</v>
      </c>
      <c r="O83" s="35" t="n">
        <f aca="false">1/((1+N83)^((A83-$B$2)/365))</f>
        <v>3.34364869730107</v>
      </c>
      <c r="Q83" s="54" t="n">
        <f aca="false">M83*B83</f>
        <v>43.157710480818</v>
      </c>
      <c r="R83" s="54" t="n">
        <f aca="false">C83*M83</f>
        <v>27.175888503657</v>
      </c>
      <c r="S83" s="54" t="n">
        <f aca="false">M83*G83</f>
        <v>35.8610051682993</v>
      </c>
      <c r="T83" s="54" t="n">
        <f aca="false">F83*M83</f>
        <v>26.6066472109584</v>
      </c>
      <c r="V83" s="56" t="n">
        <f aca="false">Z83+AC83</f>
        <v>5</v>
      </c>
      <c r="W83" s="56" t="n">
        <f aca="false">X83-V83</f>
        <v>26</v>
      </c>
      <c r="X83" s="83" t="n">
        <f aca="false">A84-A83</f>
        <v>31</v>
      </c>
      <c r="Y83" s="77" t="n">
        <v>5</v>
      </c>
      <c r="Z83" s="77" t="n">
        <v>4</v>
      </c>
      <c r="AA83" s="56" t="n">
        <f aca="false">Y83+Z83</f>
        <v>9</v>
      </c>
      <c r="AB83" s="84" t="n">
        <f aca="false">X83-AA83</f>
        <v>22</v>
      </c>
      <c r="AC83" s="0" t="n">
        <v>1</v>
      </c>
      <c r="AD83" s="0" t="n">
        <f aca="false">X83*24</f>
        <v>744</v>
      </c>
      <c r="AE83" s="0" t="n">
        <f aca="false">W83*16</f>
        <v>416</v>
      </c>
      <c r="AF83" s="0" t="n">
        <f aca="false">V83*24+W83*8</f>
        <v>328</v>
      </c>
      <c r="AH83" s="0" t="n">
        <f aca="false">X83*24</f>
        <v>744</v>
      </c>
      <c r="AI83" s="0" t="n">
        <f aca="false">AB83*16</f>
        <v>352</v>
      </c>
      <c r="AJ83" s="0" t="n">
        <f aca="false">AB83*13</f>
        <v>286</v>
      </c>
      <c r="AK83" s="0" t="n">
        <f aca="false">AB83*14</f>
        <v>308</v>
      </c>
      <c r="AL83" s="0" t="n">
        <f aca="false">AB83*8</f>
        <v>176</v>
      </c>
      <c r="AM83" s="0" t="n">
        <f aca="false">AA83*24</f>
        <v>216</v>
      </c>
      <c r="AO83" s="68" t="n">
        <f aca="false">AI83/AH83</f>
        <v>0.473118279569893</v>
      </c>
      <c r="AP83" s="68" t="n">
        <f aca="false">AL83/AH83</f>
        <v>0.236559139784946</v>
      </c>
      <c r="AQ83" s="68" t="n">
        <f aca="false">1-(AO83+AP83)</f>
        <v>0.290322580645161</v>
      </c>
      <c r="AR83" s="48" t="n">
        <f aca="false">AQ83+AP83</f>
        <v>0.526881720430108</v>
      </c>
      <c r="BA83" s="68" t="n">
        <f aca="false">AK83/AD83</f>
        <v>0.413978494623656</v>
      </c>
      <c r="BB83" s="52" t="n">
        <f aca="false">A83</f>
        <v>38687</v>
      </c>
    </row>
    <row r="84" customFormat="false" ht="12.75" hidden="false" customHeight="false" outlineLevel="0" collapsed="false">
      <c r="A84" s="52" t="n">
        <v>38718</v>
      </c>
      <c r="B84" s="59" t="n">
        <v>32.1</v>
      </c>
      <c r="C84" s="59" t="n">
        <v>26.3846774193548</v>
      </c>
      <c r="D84" s="60" t="n">
        <v>32.35</v>
      </c>
      <c r="E84" s="60" t="n">
        <v>24.6375</v>
      </c>
      <c r="F84" s="60" t="n">
        <f aca="false">((G84*AD84)-(B84*AE84))*(1/AF84)</f>
        <v>24.7511627906977</v>
      </c>
      <c r="G84" s="54" t="n">
        <f aca="false">((Z84*16*E84)+(B84*W84*16)+(X84*8*C84))/(X84*24)</f>
        <v>28.7021505376344</v>
      </c>
      <c r="H84" s="54" t="n">
        <f aca="false">(F84*AF84+B84*AE84)/AD84</f>
        <v>28.7021505376344</v>
      </c>
      <c r="I84" s="54" t="n">
        <f aca="false">B84*$C$5+F84*$C$6</f>
        <v>28.866511627907</v>
      </c>
      <c r="K84" s="76" t="n">
        <v>3.86923899157626</v>
      </c>
      <c r="M84" s="71" t="n">
        <v>1.402289658067</v>
      </c>
      <c r="N84" s="71" t="n">
        <v>0.062765013654617</v>
      </c>
      <c r="O84" s="35" t="n">
        <f aca="false">1/((1+N84)^((A84-$B$2)/365))</f>
        <v>3.32721866483044</v>
      </c>
      <c r="Q84" s="54" t="n">
        <f aca="false">M84*B84</f>
        <v>45.0134980239507</v>
      </c>
      <c r="R84" s="54" t="n">
        <f aca="false">C84*M84</f>
        <v>36.9989602765952</v>
      </c>
      <c r="S84" s="54" t="n">
        <f aca="false">M84*G84</f>
        <v>40.2487288632069</v>
      </c>
      <c r="T84" s="54" t="n">
        <f aca="false">F84*M84</f>
        <v>34.7082996065281</v>
      </c>
      <c r="V84" s="56" t="n">
        <f aca="false">Z84+AC84</f>
        <v>6</v>
      </c>
      <c r="W84" s="56" t="n">
        <f aca="false">X84-V84</f>
        <v>25</v>
      </c>
      <c r="X84" s="85" t="n">
        <f aca="false">X72</f>
        <v>31</v>
      </c>
      <c r="Y84" s="78" t="n">
        <v>4</v>
      </c>
      <c r="Z84" s="78" t="n">
        <v>5</v>
      </c>
      <c r="AA84" s="85" t="n">
        <f aca="false">AA72</f>
        <v>10</v>
      </c>
      <c r="AB84" s="85" t="n">
        <f aca="false">AB72</f>
        <v>21</v>
      </c>
      <c r="AC84" s="0" t="n">
        <v>1</v>
      </c>
      <c r="AD84" s="0" t="n">
        <f aca="false">X84*24</f>
        <v>744</v>
      </c>
      <c r="AE84" s="0" t="n">
        <f aca="false">W84*16</f>
        <v>400</v>
      </c>
      <c r="AF84" s="0" t="n">
        <f aca="false">V84*24+W84*8</f>
        <v>344</v>
      </c>
      <c r="AH84" s="0" t="n">
        <f aca="false">X84*24</f>
        <v>744</v>
      </c>
      <c r="AI84" s="0" t="n">
        <f aca="false">AB84*16</f>
        <v>336</v>
      </c>
      <c r="AJ84" s="0" t="n">
        <f aca="false">AB84*13</f>
        <v>273</v>
      </c>
      <c r="AK84" s="0" t="n">
        <f aca="false">AB84*14</f>
        <v>294</v>
      </c>
      <c r="AL84" s="0" t="n">
        <f aca="false">AB84*8</f>
        <v>168</v>
      </c>
      <c r="AM84" s="0" t="n">
        <f aca="false">AA84*24</f>
        <v>240</v>
      </c>
      <c r="AO84" s="68" t="n">
        <f aca="false">AI84/AH84</f>
        <v>0.451612903225806</v>
      </c>
      <c r="AP84" s="68" t="n">
        <f aca="false">AL84/AH84</f>
        <v>0.225806451612903</v>
      </c>
      <c r="AQ84" s="68" t="n">
        <f aca="false">1-(AO84+AP84)</f>
        <v>0.32258064516129</v>
      </c>
      <c r="AR84" s="48" t="n">
        <f aca="false">AQ84+AP84</f>
        <v>0.548387096774194</v>
      </c>
      <c r="BA84" s="68" t="n">
        <f aca="false">AK84/AD84</f>
        <v>0.395161290322581</v>
      </c>
      <c r="BB84" s="52" t="n">
        <f aca="false">A84</f>
        <v>38718</v>
      </c>
    </row>
    <row r="85" customFormat="false" ht="12.75" hidden="false" customHeight="false" outlineLevel="0" collapsed="false">
      <c r="A85" s="52" t="n">
        <v>38749</v>
      </c>
      <c r="B85" s="59" t="n">
        <v>30.6</v>
      </c>
      <c r="C85" s="59" t="n">
        <v>25.3535714285714</v>
      </c>
      <c r="D85" s="60" t="n">
        <v>30.85</v>
      </c>
      <c r="E85" s="60" t="n">
        <v>23.5125</v>
      </c>
      <c r="F85" s="60" t="n">
        <f aca="false">((G85*AD85)-(B85*AE85))*(1/AF85)</f>
        <v>24.9444444444444</v>
      </c>
      <c r="G85" s="54" t="n">
        <f aca="false">((Z85*16*E85)+(B85*W85*16)+(X85*8*C85))/(X85*24)</f>
        <v>28.1761904761905</v>
      </c>
      <c r="H85" s="54" t="n">
        <f aca="false">(F85*AF85+B85*AE85)/AD85</f>
        <v>28.1761904761905</v>
      </c>
      <c r="I85" s="54" t="n">
        <f aca="false">B85*$C$5+F85*$C$6</f>
        <v>28.1115555555556</v>
      </c>
      <c r="K85" s="76" t="n">
        <v>3.71690110756601</v>
      </c>
      <c r="M85" s="71" t="n">
        <v>1.401074066272</v>
      </c>
      <c r="N85" s="71" t="n">
        <v>0.062778099601852</v>
      </c>
      <c r="O85" s="35" t="n">
        <f aca="false">1/((1+N85)^((A85-$B$2)/365))</f>
        <v>3.31086243158306</v>
      </c>
      <c r="Q85" s="54" t="n">
        <f aca="false">M85*B85</f>
        <v>42.8728664279232</v>
      </c>
      <c r="R85" s="54" t="n">
        <f aca="false">C85*M85</f>
        <v>35.5222314159462</v>
      </c>
      <c r="S85" s="54" t="n">
        <f aca="false">M85*G85</f>
        <v>39.4769297625306</v>
      </c>
      <c r="T85" s="54" t="n">
        <f aca="false">F85*M85</f>
        <v>34.9490142086738</v>
      </c>
      <c r="V85" s="56" t="n">
        <f aca="false">Z85+AC85</f>
        <v>4</v>
      </c>
      <c r="W85" s="56" t="n">
        <f aca="false">X85-V85</f>
        <v>24</v>
      </c>
      <c r="X85" s="85" t="n">
        <f aca="false">X73</f>
        <v>28</v>
      </c>
      <c r="Y85" s="77" t="n">
        <v>4</v>
      </c>
      <c r="Z85" s="77" t="n">
        <v>4</v>
      </c>
      <c r="AA85" s="85" t="n">
        <f aca="false">AA73</f>
        <v>8</v>
      </c>
      <c r="AB85" s="85" t="n">
        <f aca="false">AB73</f>
        <v>20</v>
      </c>
      <c r="AD85" s="0" t="n">
        <f aca="false">X85*24</f>
        <v>672</v>
      </c>
      <c r="AE85" s="0" t="n">
        <f aca="false">W85*16</f>
        <v>384</v>
      </c>
      <c r="AF85" s="0" t="n">
        <f aca="false">V85*24+W85*8</f>
        <v>288</v>
      </c>
      <c r="AH85" s="0" t="n">
        <f aca="false">X85*24</f>
        <v>672</v>
      </c>
      <c r="AI85" s="0" t="n">
        <f aca="false">AB85*16</f>
        <v>320</v>
      </c>
      <c r="AJ85" s="0" t="n">
        <f aca="false">AB85*13</f>
        <v>260</v>
      </c>
      <c r="AK85" s="0" t="n">
        <f aca="false">AB85*14</f>
        <v>280</v>
      </c>
      <c r="AL85" s="0" t="n">
        <f aca="false">AB85*8</f>
        <v>160</v>
      </c>
      <c r="AM85" s="0" t="n">
        <f aca="false">AA85*24</f>
        <v>192</v>
      </c>
      <c r="AO85" s="68" t="n">
        <f aca="false">AI85/AH85</f>
        <v>0.476190476190476</v>
      </c>
      <c r="AP85" s="68" t="n">
        <f aca="false">AL85/AH85</f>
        <v>0.238095238095238</v>
      </c>
      <c r="AQ85" s="68" t="n">
        <f aca="false">1-(AO85+AP85)</f>
        <v>0.285714285714286</v>
      </c>
      <c r="AR85" s="48" t="n">
        <f aca="false">AQ85+AP85</f>
        <v>0.523809523809524</v>
      </c>
      <c r="BA85" s="68" t="n">
        <f aca="false">AK85/AD85</f>
        <v>0.416666666666667</v>
      </c>
      <c r="BB85" s="52" t="n">
        <f aca="false">A85</f>
        <v>38749</v>
      </c>
    </row>
    <row r="86" customFormat="false" ht="12.75" hidden="false" customHeight="false" outlineLevel="0" collapsed="false">
      <c r="A86" s="52" t="n">
        <v>38777</v>
      </c>
      <c r="B86" s="59" t="n">
        <v>28.85</v>
      </c>
      <c r="C86" s="59" t="n">
        <v>21.8806451612903</v>
      </c>
      <c r="D86" s="60" t="n">
        <v>29.1</v>
      </c>
      <c r="E86" s="60" t="n">
        <v>22.2</v>
      </c>
      <c r="F86" s="60" t="n">
        <f aca="false">((G86*AD86)-(B86*AE86))*(1/AF86)</f>
        <v>21.9461538461538</v>
      </c>
      <c r="G86" s="54" t="n">
        <f aca="false">((Z86*16*E86)+(B86*W86*16)+(X86*8*C86))/(X86*24)</f>
        <v>25.9548387096774</v>
      </c>
      <c r="H86" s="54" t="n">
        <f aca="false">(F86*AF86+B86*AE86)/AD86</f>
        <v>25.9548387096774</v>
      </c>
      <c r="I86" s="54" t="n">
        <f aca="false">B86*$C$5+F86*$C$6</f>
        <v>25.8123076923077</v>
      </c>
      <c r="K86" s="76" t="n">
        <v>3.54526954268458</v>
      </c>
      <c r="M86" s="71" t="n">
        <v>1.399973996321</v>
      </c>
      <c r="N86" s="71" t="n">
        <v>0.062789919167145</v>
      </c>
      <c r="O86" s="35" t="n">
        <f aca="false">1/((1+N86)^((A86-$B$2)/365))</f>
        <v>3.29615224679703</v>
      </c>
      <c r="Q86" s="54" t="n">
        <f aca="false">M86*B86</f>
        <v>40.3892497938609</v>
      </c>
      <c r="R86" s="54" t="n">
        <f aca="false">C86*M86</f>
        <v>30.6323342485334</v>
      </c>
      <c r="S86" s="54" t="n">
        <f aca="false">M86*G86</f>
        <v>36.3360992722541</v>
      </c>
      <c r="T86" s="54" t="n">
        <f aca="false">F86*M86</f>
        <v>30.7240447038755</v>
      </c>
      <c r="V86" s="56" t="n">
        <f aca="false">Z86+AC86</f>
        <v>4</v>
      </c>
      <c r="W86" s="56" t="n">
        <f aca="false">X86-V86</f>
        <v>27</v>
      </c>
      <c r="X86" s="85" t="n">
        <f aca="false">X74</f>
        <v>31</v>
      </c>
      <c r="Y86" s="77" t="n">
        <v>4</v>
      </c>
      <c r="Z86" s="77" t="n">
        <v>4</v>
      </c>
      <c r="AA86" s="85" t="n">
        <f aca="false">AA74</f>
        <v>8</v>
      </c>
      <c r="AB86" s="85" t="n">
        <f aca="false">AB74</f>
        <v>23</v>
      </c>
      <c r="AD86" s="0" t="n">
        <f aca="false">X86*24</f>
        <v>744</v>
      </c>
      <c r="AE86" s="0" t="n">
        <f aca="false">W86*16</f>
        <v>432</v>
      </c>
      <c r="AF86" s="0" t="n">
        <f aca="false">V86*24+W86*8</f>
        <v>312</v>
      </c>
      <c r="AH86" s="0" t="n">
        <f aca="false">X86*24</f>
        <v>744</v>
      </c>
      <c r="AI86" s="0" t="n">
        <f aca="false">AB86*16</f>
        <v>368</v>
      </c>
      <c r="AJ86" s="0" t="n">
        <f aca="false">AB86*13</f>
        <v>299</v>
      </c>
      <c r="AK86" s="0" t="n">
        <f aca="false">AB86*14</f>
        <v>322</v>
      </c>
      <c r="AL86" s="0" t="n">
        <f aca="false">AB86*8</f>
        <v>184</v>
      </c>
      <c r="AM86" s="0" t="n">
        <f aca="false">AA86*24</f>
        <v>192</v>
      </c>
      <c r="AO86" s="68" t="n">
        <f aca="false">AI86/AH86</f>
        <v>0.494623655913979</v>
      </c>
      <c r="AP86" s="68" t="n">
        <f aca="false">AL86/AH86</f>
        <v>0.247311827956989</v>
      </c>
      <c r="AQ86" s="68" t="n">
        <f aca="false">1-(AO86+AP86)</f>
        <v>0.258064516129032</v>
      </c>
      <c r="AR86" s="48" t="n">
        <f aca="false">AQ86+AP86</f>
        <v>0.505376344086022</v>
      </c>
      <c r="BA86" s="68" t="n">
        <f aca="false">AK86/AD86</f>
        <v>0.432795698924731</v>
      </c>
      <c r="BB86" s="52" t="n">
        <f aca="false">A86</f>
        <v>38777</v>
      </c>
    </row>
    <row r="87" customFormat="false" ht="12.75" hidden="false" customHeight="false" outlineLevel="0" collapsed="false">
      <c r="A87" s="52" t="n">
        <v>38808</v>
      </c>
      <c r="B87" s="59" t="n">
        <v>27.35</v>
      </c>
      <c r="C87" s="59" t="n">
        <v>16.7542</v>
      </c>
      <c r="D87" s="60" t="n">
        <v>26.85</v>
      </c>
      <c r="E87" s="60" t="n">
        <v>20.5125</v>
      </c>
      <c r="F87" s="60" t="n">
        <f aca="false">((G87*AD87)-(B87*AE87))*(1/AF87)</f>
        <v>17.693775</v>
      </c>
      <c r="G87" s="54" t="n">
        <f aca="false">((Z87*16*E87)+(B87*W87*16)+(X87*8*C87))/(X87*24)</f>
        <v>23.0583444444444</v>
      </c>
      <c r="H87" s="54" t="n">
        <f aca="false">(F87*AF87+B87*AE87)/AD87</f>
        <v>23.0583444444444</v>
      </c>
      <c r="I87" s="54" t="n">
        <f aca="false">B87*$C$5+F87*$C$6</f>
        <v>23.101261</v>
      </c>
      <c r="K87" s="76" t="n">
        <v>3.30634393643749</v>
      </c>
      <c r="M87" s="71" t="n">
        <v>1.39875372664</v>
      </c>
      <c r="N87" s="71" t="n">
        <v>0.062803005114487</v>
      </c>
      <c r="O87" s="35" t="n">
        <f aca="false">1/((1+N87)^((A87-$B$2)/365))</f>
        <v>3.27993565784423</v>
      </c>
      <c r="Q87" s="54" t="n">
        <f aca="false">M87*B87</f>
        <v>38.255914423604</v>
      </c>
      <c r="R87" s="54" t="n">
        <f aca="false">C87*M87</f>
        <v>23.4349996868719</v>
      </c>
      <c r="S87" s="54" t="n">
        <f aca="false">M87*G87</f>
        <v>32.2529452218154</v>
      </c>
      <c r="T87" s="54" t="n">
        <f aca="false">F87*M87</f>
        <v>24.7492337195797</v>
      </c>
      <c r="V87" s="56" t="n">
        <f aca="false">Z87+AC87</f>
        <v>5</v>
      </c>
      <c r="W87" s="56" t="n">
        <f aca="false">X87-V87</f>
        <v>25</v>
      </c>
      <c r="X87" s="85" t="n">
        <f aca="false">X75</f>
        <v>30</v>
      </c>
      <c r="Y87" s="77" t="n">
        <v>5</v>
      </c>
      <c r="Z87" s="77" t="n">
        <v>5</v>
      </c>
      <c r="AA87" s="85" t="n">
        <f aca="false">AA75</f>
        <v>9</v>
      </c>
      <c r="AB87" s="85" t="n">
        <f aca="false">AB75</f>
        <v>21</v>
      </c>
      <c r="AD87" s="0" t="n">
        <f aca="false">X87*24</f>
        <v>720</v>
      </c>
      <c r="AE87" s="0" t="n">
        <f aca="false">W87*16</f>
        <v>400</v>
      </c>
      <c r="AF87" s="0" t="n">
        <f aca="false">V87*24+W87*8</f>
        <v>320</v>
      </c>
      <c r="AH87" s="0" t="n">
        <f aca="false">X87*24</f>
        <v>720</v>
      </c>
      <c r="AI87" s="0" t="n">
        <f aca="false">AB87*16</f>
        <v>336</v>
      </c>
      <c r="AJ87" s="0" t="n">
        <f aca="false">AB87*13</f>
        <v>273</v>
      </c>
      <c r="AK87" s="0" t="n">
        <f aca="false">AB87*14</f>
        <v>294</v>
      </c>
      <c r="AL87" s="0" t="n">
        <f aca="false">AB87*8</f>
        <v>168</v>
      </c>
      <c r="AM87" s="0" t="n">
        <f aca="false">AA87*24</f>
        <v>216</v>
      </c>
      <c r="AO87" s="68" t="n">
        <f aca="false">AI87/AH87</f>
        <v>0.466666666666667</v>
      </c>
      <c r="AP87" s="68" t="n">
        <f aca="false">AL87/AH87</f>
        <v>0.233333333333333</v>
      </c>
      <c r="AQ87" s="68" t="n">
        <f aca="false">1-(AO87+AP87)</f>
        <v>0.3</v>
      </c>
      <c r="AR87" s="48" t="n">
        <f aca="false">AQ87+AP87</f>
        <v>0.533333333333333</v>
      </c>
      <c r="BA87" s="68" t="n">
        <f aca="false">AK87/AD87</f>
        <v>0.408333333333333</v>
      </c>
      <c r="BB87" s="52" t="n">
        <f aca="false">A87</f>
        <v>38808</v>
      </c>
    </row>
    <row r="88" customFormat="false" ht="12.75" hidden="false" customHeight="false" outlineLevel="0" collapsed="false">
      <c r="A88" s="52" t="n">
        <v>38838</v>
      </c>
      <c r="B88" s="59" t="n">
        <v>26.35</v>
      </c>
      <c r="C88" s="59" t="n">
        <v>6.55403225806452</v>
      </c>
      <c r="D88" s="60" t="n">
        <v>24.85</v>
      </c>
      <c r="E88" s="60" t="n">
        <v>18.45</v>
      </c>
      <c r="F88" s="60" t="n">
        <f aca="false">((G88*AD88)-(B88*AE88))*(1/AF88)</f>
        <v>8.55548780487805</v>
      </c>
      <c r="G88" s="54" t="n">
        <f aca="false">((Z88*16*E88)+(B88*W88*16)+(X88*8*C88))/(X88*24)</f>
        <v>18.5051075268817</v>
      </c>
      <c r="H88" s="54" t="n">
        <f aca="false">(F88*AF88+B88*AE88)/AD88</f>
        <v>18.5051075268817</v>
      </c>
      <c r="I88" s="54" t="n">
        <f aca="false">B88*$C$5+F88*$C$6</f>
        <v>18.5204146341463</v>
      </c>
      <c r="K88" s="76" t="n">
        <v>3.27487268676209</v>
      </c>
      <c r="M88" s="71" t="n">
        <v>1.397570491754</v>
      </c>
      <c r="N88" s="71" t="n">
        <v>0.06281566893455</v>
      </c>
      <c r="O88" s="35" t="n">
        <f aca="false">1/((1+N88)^((A88-$B$2)/365))</f>
        <v>3.26431164337371</v>
      </c>
      <c r="Q88" s="54" t="n">
        <f aca="false">M88*B88</f>
        <v>36.8259824577179</v>
      </c>
      <c r="R88" s="54" t="n">
        <f aca="false">C88*M88</f>
        <v>9.15972208587481</v>
      </c>
      <c r="S88" s="54" t="n">
        <f aca="false">M88*G88</f>
        <v>25.8621922263047</v>
      </c>
      <c r="T88" s="54" t="n">
        <f aca="false">F88*M88</f>
        <v>11.9568972986588</v>
      </c>
      <c r="V88" s="56" t="n">
        <f aca="false">Z88+AC88</f>
        <v>5</v>
      </c>
      <c r="W88" s="56" t="n">
        <f aca="false">X88-V88</f>
        <v>26</v>
      </c>
      <c r="X88" s="85" t="n">
        <f aca="false">X76</f>
        <v>31</v>
      </c>
      <c r="Y88" s="77" t="n">
        <v>4</v>
      </c>
      <c r="Z88" s="77" t="n">
        <v>4</v>
      </c>
      <c r="AA88" s="85" t="n">
        <f aca="false">AA76</f>
        <v>9</v>
      </c>
      <c r="AB88" s="85" t="n">
        <f aca="false">AB76</f>
        <v>22</v>
      </c>
      <c r="AC88" s="0" t="n">
        <v>1</v>
      </c>
      <c r="AD88" s="0" t="n">
        <f aca="false">X88*24</f>
        <v>744</v>
      </c>
      <c r="AE88" s="0" t="n">
        <f aca="false">W88*16</f>
        <v>416</v>
      </c>
      <c r="AF88" s="0" t="n">
        <f aca="false">V88*24+W88*8</f>
        <v>328</v>
      </c>
      <c r="AH88" s="0" t="n">
        <f aca="false">X88*24</f>
        <v>744</v>
      </c>
      <c r="AI88" s="0" t="n">
        <f aca="false">AB88*16</f>
        <v>352</v>
      </c>
      <c r="AJ88" s="0" t="n">
        <f aca="false">AB88*13</f>
        <v>286</v>
      </c>
      <c r="AK88" s="0" t="n">
        <f aca="false">AB88*14</f>
        <v>308</v>
      </c>
      <c r="AL88" s="0" t="n">
        <f aca="false">AB88*8</f>
        <v>176</v>
      </c>
      <c r="AM88" s="0" t="n">
        <f aca="false">AA88*24</f>
        <v>216</v>
      </c>
      <c r="AO88" s="68" t="n">
        <f aca="false">AI88/AH88</f>
        <v>0.473118279569893</v>
      </c>
      <c r="AP88" s="68" t="n">
        <f aca="false">AL88/AH88</f>
        <v>0.236559139784946</v>
      </c>
      <c r="AQ88" s="68" t="n">
        <f aca="false">1-(AO88+AP88)</f>
        <v>0.290322580645161</v>
      </c>
      <c r="AR88" s="48" t="n">
        <f aca="false">AQ88+AP88</f>
        <v>0.526881720430108</v>
      </c>
      <c r="BA88" s="68" t="n">
        <f aca="false">AK88/AD88</f>
        <v>0.413978494623656</v>
      </c>
      <c r="BB88" s="52" t="n">
        <f aca="false">A88</f>
        <v>38838</v>
      </c>
    </row>
    <row r="89" customFormat="false" ht="12.75" hidden="false" customHeight="false" outlineLevel="0" collapsed="false">
      <c r="A89" s="52" t="n">
        <v>38869</v>
      </c>
      <c r="B89" s="59" t="n">
        <v>27.1</v>
      </c>
      <c r="C89" s="59" t="n">
        <v>7.6</v>
      </c>
      <c r="D89" s="60" t="n">
        <v>26.85</v>
      </c>
      <c r="E89" s="60" t="n">
        <v>19.95</v>
      </c>
      <c r="F89" s="60" t="n">
        <f aca="false">((G89*AD89)-(B89*AE89))*(1/AF89)</f>
        <v>10.2</v>
      </c>
      <c r="G89" s="54" t="n">
        <f aca="false">((Z89*16*E89)+(B89*W89*16)+(X89*8*C89))/(X89*24)</f>
        <v>19.9644444444444</v>
      </c>
      <c r="H89" s="54" t="n">
        <f aca="false">(F89*AF89+B89*AE89)/AD89</f>
        <v>19.9644444444444</v>
      </c>
      <c r="I89" s="54" t="n">
        <f aca="false">B89*$C$5+F89*$C$6</f>
        <v>19.664</v>
      </c>
      <c r="K89" s="76" t="n">
        <v>3.28289283590951</v>
      </c>
      <c r="M89" s="71" t="n">
        <v>1.396345417495</v>
      </c>
      <c r="N89" s="71" t="n">
        <v>0.062828754882005</v>
      </c>
      <c r="O89" s="35" t="n">
        <f aca="false">1/((1+N89)^((A89-$B$2)/365))</f>
        <v>3.24823831872916</v>
      </c>
      <c r="Q89" s="54" t="n">
        <f aca="false">M89*B89</f>
        <v>37.8409608141145</v>
      </c>
      <c r="R89" s="54" t="n">
        <f aca="false">C89*M89</f>
        <v>10.612225172962</v>
      </c>
      <c r="S89" s="54" t="n">
        <f aca="false">M89*G89</f>
        <v>27.8772605128335</v>
      </c>
      <c r="T89" s="54" t="n">
        <f aca="false">F89*M89</f>
        <v>14.242723258449</v>
      </c>
      <c r="V89" s="56" t="n">
        <f aca="false">Z89+AC89</f>
        <v>4</v>
      </c>
      <c r="W89" s="56" t="n">
        <f aca="false">X89-V89</f>
        <v>26</v>
      </c>
      <c r="X89" s="85" t="n">
        <f aca="false">X77</f>
        <v>30</v>
      </c>
      <c r="Y89" s="77" t="n">
        <v>4</v>
      </c>
      <c r="Z89" s="77" t="n">
        <v>4</v>
      </c>
      <c r="AA89" s="85" t="n">
        <f aca="false">AA77</f>
        <v>8</v>
      </c>
      <c r="AB89" s="85" t="n">
        <f aca="false">AB77</f>
        <v>22</v>
      </c>
      <c r="AD89" s="0" t="n">
        <f aca="false">X89*24</f>
        <v>720</v>
      </c>
      <c r="AE89" s="0" t="n">
        <f aca="false">W89*16</f>
        <v>416</v>
      </c>
      <c r="AF89" s="0" t="n">
        <f aca="false">V89*24+W89*8</f>
        <v>304</v>
      </c>
      <c r="AH89" s="0" t="n">
        <f aca="false">X89*24</f>
        <v>720</v>
      </c>
      <c r="AI89" s="0" t="n">
        <f aca="false">AB89*16</f>
        <v>352</v>
      </c>
      <c r="AJ89" s="0" t="n">
        <f aca="false">AB89*13</f>
        <v>286</v>
      </c>
      <c r="AK89" s="0" t="n">
        <f aca="false">AB89*14</f>
        <v>308</v>
      </c>
      <c r="AL89" s="0" t="n">
        <f aca="false">AB89*8</f>
        <v>176</v>
      </c>
      <c r="AM89" s="0" t="n">
        <f aca="false">AA89*24</f>
        <v>192</v>
      </c>
      <c r="AO89" s="68" t="n">
        <f aca="false">AI89/AH89</f>
        <v>0.488888888888889</v>
      </c>
      <c r="AP89" s="68" t="n">
        <f aca="false">AL89/AH89</f>
        <v>0.244444444444444</v>
      </c>
      <c r="AQ89" s="68" t="n">
        <f aca="false">1-(AO89+AP89)</f>
        <v>0.266666666666667</v>
      </c>
      <c r="AR89" s="48" t="n">
        <f aca="false">AQ89+AP89</f>
        <v>0.511111111111111</v>
      </c>
      <c r="BA89" s="68" t="n">
        <f aca="false">AK89/AD89</f>
        <v>0.427777777777778</v>
      </c>
      <c r="BB89" s="52" t="n">
        <f aca="false">A89</f>
        <v>38869</v>
      </c>
    </row>
    <row r="90" customFormat="false" ht="12.75" hidden="false" customHeight="false" outlineLevel="0" collapsed="false">
      <c r="A90" s="52" t="n">
        <v>38899</v>
      </c>
      <c r="B90" s="59" t="n">
        <v>59.16</v>
      </c>
      <c r="C90" s="59" t="n">
        <v>18.3322580645161</v>
      </c>
      <c r="D90" s="60" t="n">
        <v>59.2975</v>
      </c>
      <c r="E90" s="60" t="n">
        <v>43.45125</v>
      </c>
      <c r="F90" s="60" t="n">
        <f aca="false">((G90*AD90)-(B90*AE90))*(1/AF90)</f>
        <v>23.3212209302325</v>
      </c>
      <c r="G90" s="54" t="n">
        <f aca="false">((Z90*16*E90)+(B90*W90*16)+(X90*8*C90))/(X90*24)</f>
        <v>42.5893817204301</v>
      </c>
      <c r="H90" s="54" t="n">
        <f aca="false">(F90*AF90+B90*AE90)/AD90</f>
        <v>42.5893817204301</v>
      </c>
      <c r="I90" s="54" t="n">
        <f aca="false">B90*$C$5+F90*$C$6</f>
        <v>43.3909372093023</v>
      </c>
      <c r="K90" s="76" t="n">
        <v>3.36206712609725</v>
      </c>
      <c r="M90" s="71" t="n">
        <v>1.39515754873</v>
      </c>
      <c r="N90" s="71" t="n">
        <v>0.062841418702176</v>
      </c>
      <c r="O90" s="35" t="n">
        <f aca="false">1/((1+N90)^((A90-$B$2)/365))</f>
        <v>3.2327524019373</v>
      </c>
      <c r="Q90" s="54" t="n">
        <f aca="false">M90*B90</f>
        <v>82.5375205828668</v>
      </c>
      <c r="R90" s="54" t="n">
        <f aca="false">C90*M90</f>
        <v>25.5763882239761</v>
      </c>
      <c r="S90" s="54" t="n">
        <f aca="false">M90*G90</f>
        <v>59.4188974030016</v>
      </c>
      <c r="T90" s="54" t="n">
        <f aca="false">F90*M90</f>
        <v>32.536777426414</v>
      </c>
      <c r="V90" s="56" t="n">
        <f aca="false">Z90+AC90</f>
        <v>6</v>
      </c>
      <c r="W90" s="56" t="n">
        <f aca="false">X90-V90</f>
        <v>25</v>
      </c>
      <c r="X90" s="85" t="n">
        <f aca="false">X78</f>
        <v>31</v>
      </c>
      <c r="Y90" s="77" t="n">
        <v>5</v>
      </c>
      <c r="Z90" s="77" t="n">
        <v>5</v>
      </c>
      <c r="AA90" s="85" t="n">
        <f aca="false">AA78</f>
        <v>10</v>
      </c>
      <c r="AB90" s="85" t="n">
        <f aca="false">AB78</f>
        <v>21</v>
      </c>
      <c r="AC90" s="0" t="n">
        <v>1</v>
      </c>
      <c r="AD90" s="0" t="n">
        <f aca="false">X90*24</f>
        <v>744</v>
      </c>
      <c r="AE90" s="0" t="n">
        <f aca="false">W90*16</f>
        <v>400</v>
      </c>
      <c r="AF90" s="0" t="n">
        <f aca="false">V90*24+W90*8</f>
        <v>344</v>
      </c>
      <c r="AH90" s="0" t="n">
        <f aca="false">X90*24</f>
        <v>744</v>
      </c>
      <c r="AI90" s="0" t="n">
        <f aca="false">AB90*16</f>
        <v>336</v>
      </c>
      <c r="AJ90" s="0" t="n">
        <f aca="false">AB90*13</f>
        <v>273</v>
      </c>
      <c r="AK90" s="0" t="n">
        <f aca="false">AB90*14</f>
        <v>294</v>
      </c>
      <c r="AL90" s="0" t="n">
        <f aca="false">AB90*8</f>
        <v>168</v>
      </c>
      <c r="AM90" s="0" t="n">
        <f aca="false">AA90*24</f>
        <v>240</v>
      </c>
      <c r="AO90" s="68" t="n">
        <f aca="false">AI90/AH90</f>
        <v>0.451612903225806</v>
      </c>
      <c r="AP90" s="68" t="n">
        <f aca="false">AL90/AH90</f>
        <v>0.225806451612903</v>
      </c>
      <c r="AQ90" s="68" t="n">
        <f aca="false">1-(AO90+AP90)</f>
        <v>0.32258064516129</v>
      </c>
      <c r="AR90" s="48" t="n">
        <f aca="false">AQ90+AP90</f>
        <v>0.548387096774194</v>
      </c>
      <c r="BA90" s="68" t="n">
        <f aca="false">AK90/AD90</f>
        <v>0.395161290322581</v>
      </c>
      <c r="BB90" s="52" t="n">
        <f aca="false">A90</f>
        <v>38899</v>
      </c>
    </row>
    <row r="91" customFormat="false" ht="12.75" hidden="false" customHeight="false" outlineLevel="0" collapsed="false">
      <c r="A91" s="52" t="n">
        <v>38930</v>
      </c>
      <c r="B91" s="59" t="n">
        <v>72.16</v>
      </c>
      <c r="C91" s="59" t="n">
        <v>20.6548387096774</v>
      </c>
      <c r="D91" s="60" t="n">
        <v>72.2975</v>
      </c>
      <c r="E91" s="60" t="n">
        <v>53.20125</v>
      </c>
      <c r="F91" s="60" t="n">
        <f aca="false">((G91*AD91)-(B91*AE91))*(1/AF91)</f>
        <v>27.3310256410256</v>
      </c>
      <c r="G91" s="54" t="n">
        <f aca="false">((Z91*16*E91)+(B91*W91*16)+(X91*8*C91))/(X91*24)</f>
        <v>53.360752688172</v>
      </c>
      <c r="H91" s="54" t="n">
        <f aca="false">(F91*AF91+B91*AE91)/AD91</f>
        <v>53.360752688172</v>
      </c>
      <c r="I91" s="54" t="n">
        <f aca="false">B91*$C$5+F91*$C$6</f>
        <v>52.4352512820513</v>
      </c>
      <c r="K91" s="76" t="n">
        <v>3.34896390744121</v>
      </c>
      <c r="M91" s="71" t="n">
        <v>1.393927702386</v>
      </c>
      <c r="N91" s="71" t="n">
        <v>0.062854504649743</v>
      </c>
      <c r="O91" s="35" t="n">
        <f aca="false">1/((1+N91)^((A91-$B$2)/365))</f>
        <v>3.21682121672403</v>
      </c>
      <c r="Q91" s="54" t="n">
        <f aca="false">M91*B91</f>
        <v>100.585823004174</v>
      </c>
      <c r="R91" s="54" t="n">
        <f aca="false">C91*M91</f>
        <v>28.7913518657341</v>
      </c>
      <c r="S91" s="54" t="n">
        <f aca="false">M91*G91</f>
        <v>74.3810313922112</v>
      </c>
      <c r="T91" s="54" t="n">
        <f aca="false">F91*M91</f>
        <v>38.0974737756477</v>
      </c>
      <c r="V91" s="56" t="n">
        <f aca="false">Z91+AC91</f>
        <v>4</v>
      </c>
      <c r="W91" s="56" t="n">
        <f aca="false">X91-V91</f>
        <v>27</v>
      </c>
      <c r="X91" s="85" t="n">
        <f aca="false">X79</f>
        <v>31</v>
      </c>
      <c r="Y91" s="77" t="n">
        <v>4</v>
      </c>
      <c r="Z91" s="77" t="n">
        <v>4</v>
      </c>
      <c r="AA91" s="85" t="n">
        <f aca="false">AA79</f>
        <v>8</v>
      </c>
      <c r="AB91" s="85" t="n">
        <f aca="false">AB79</f>
        <v>23</v>
      </c>
      <c r="AD91" s="0" t="n">
        <f aca="false">X91*24</f>
        <v>744</v>
      </c>
      <c r="AE91" s="0" t="n">
        <f aca="false">W91*16</f>
        <v>432</v>
      </c>
      <c r="AF91" s="0" t="n">
        <f aca="false">V91*24+W91*8</f>
        <v>312</v>
      </c>
      <c r="AH91" s="0" t="n">
        <f aca="false">X91*24</f>
        <v>744</v>
      </c>
      <c r="AI91" s="0" t="n">
        <f aca="false">AB91*16</f>
        <v>368</v>
      </c>
      <c r="AJ91" s="0" t="n">
        <f aca="false">AB91*13</f>
        <v>299</v>
      </c>
      <c r="AK91" s="0" t="n">
        <f aca="false">AB91*14</f>
        <v>322</v>
      </c>
      <c r="AL91" s="0" t="n">
        <f aca="false">AB91*8</f>
        <v>184</v>
      </c>
      <c r="AM91" s="0" t="n">
        <f aca="false">AA91*24</f>
        <v>192</v>
      </c>
      <c r="AO91" s="68" t="n">
        <f aca="false">AI91/AH91</f>
        <v>0.494623655913979</v>
      </c>
      <c r="AP91" s="68" t="n">
        <f aca="false">AL91/AH91</f>
        <v>0.247311827956989</v>
      </c>
      <c r="AQ91" s="68" t="n">
        <f aca="false">1-(AO91+AP91)</f>
        <v>0.258064516129032</v>
      </c>
      <c r="AR91" s="48" t="n">
        <f aca="false">AQ91+AP91</f>
        <v>0.505376344086022</v>
      </c>
      <c r="BA91" s="68" t="n">
        <f aca="false">AK91/AD91</f>
        <v>0.432795698924731</v>
      </c>
      <c r="BB91" s="52" t="n">
        <f aca="false">A91</f>
        <v>38930</v>
      </c>
    </row>
    <row r="92" customFormat="false" ht="12.75" hidden="false" customHeight="false" outlineLevel="0" collapsed="false">
      <c r="A92" s="52" t="n">
        <v>38961</v>
      </c>
      <c r="B92" s="59" t="n">
        <v>64.6</v>
      </c>
      <c r="C92" s="59" t="n">
        <v>19.85</v>
      </c>
      <c r="D92" s="60" t="n">
        <v>64.6</v>
      </c>
      <c r="E92" s="60" t="n">
        <v>47.8875</v>
      </c>
      <c r="F92" s="60" t="n">
        <f aca="false">((G92*AD92)-(B92*AE92))*(1/AF92)</f>
        <v>24.465</v>
      </c>
      <c r="G92" s="54" t="n">
        <f aca="false">((Z92*16*E92)+(B92*W92*16)+(X92*8*C92))/(X92*24)</f>
        <v>46.7622222222222</v>
      </c>
      <c r="H92" s="54" t="n">
        <f aca="false">(F92*AF92+B92*AE92)/AD92</f>
        <v>46.7622222222222</v>
      </c>
      <c r="I92" s="54" t="n">
        <f aca="false">B92*$C$5+F92*$C$6</f>
        <v>46.9406</v>
      </c>
      <c r="K92" s="76" t="n">
        <v>3.32931213147317</v>
      </c>
      <c r="M92" s="71" t="n">
        <v>1.392695443364</v>
      </c>
      <c r="N92" s="71" t="n">
        <v>0.062867590597366</v>
      </c>
      <c r="O92" s="35" t="n">
        <f aca="false">1/((1+N92)^((A92-$B$2)/365))</f>
        <v>3.20096183759622</v>
      </c>
      <c r="Q92" s="54" t="n">
        <f aca="false">M92*B92</f>
        <v>89.9681256413144</v>
      </c>
      <c r="R92" s="54" t="n">
        <f aca="false">C92*M92</f>
        <v>27.6450045507754</v>
      </c>
      <c r="S92" s="54" t="n">
        <f aca="false">M92*G92</f>
        <v>65.1255338104637</v>
      </c>
      <c r="T92" s="54" t="n">
        <f aca="false">F92*M92</f>
        <v>34.0722940219003</v>
      </c>
      <c r="V92" s="56" t="n">
        <f aca="false">Z92+AC92</f>
        <v>5</v>
      </c>
      <c r="W92" s="56" t="n">
        <f aca="false">X92-V92</f>
        <v>25</v>
      </c>
      <c r="X92" s="85" t="n">
        <f aca="false">X80</f>
        <v>30</v>
      </c>
      <c r="Y92" s="77" t="n">
        <v>5</v>
      </c>
      <c r="Z92" s="77" t="n">
        <v>4</v>
      </c>
      <c r="AA92" s="85" t="n">
        <f aca="false">AA80</f>
        <v>8</v>
      </c>
      <c r="AB92" s="85" t="n">
        <f aca="false">AB80</f>
        <v>22</v>
      </c>
      <c r="AC92" s="0" t="n">
        <v>1</v>
      </c>
      <c r="AD92" s="0" t="n">
        <f aca="false">X92*24</f>
        <v>720</v>
      </c>
      <c r="AE92" s="0" t="n">
        <f aca="false">W92*16</f>
        <v>400</v>
      </c>
      <c r="AF92" s="0" t="n">
        <f aca="false">V92*24+W92*8</f>
        <v>320</v>
      </c>
      <c r="AH92" s="0" t="n">
        <f aca="false">X92*24</f>
        <v>720</v>
      </c>
      <c r="AI92" s="0" t="n">
        <f aca="false">AB92*16</f>
        <v>352</v>
      </c>
      <c r="AJ92" s="0" t="n">
        <f aca="false">AB92*13</f>
        <v>286</v>
      </c>
      <c r="AK92" s="0" t="n">
        <f aca="false">AB92*14</f>
        <v>308</v>
      </c>
      <c r="AL92" s="0" t="n">
        <f aca="false">AB92*8</f>
        <v>176</v>
      </c>
      <c r="AM92" s="0" t="n">
        <f aca="false">AA92*24</f>
        <v>192</v>
      </c>
      <c r="AO92" s="68" t="n">
        <f aca="false">AI92/AH92</f>
        <v>0.488888888888889</v>
      </c>
      <c r="AP92" s="68" t="n">
        <f aca="false">AL92/AH92</f>
        <v>0.244444444444444</v>
      </c>
      <c r="AQ92" s="68" t="n">
        <f aca="false">1-(AO92+AP92)</f>
        <v>0.266666666666667</v>
      </c>
      <c r="AR92" s="48" t="n">
        <f aca="false">AQ92+AP92</f>
        <v>0.511111111111111</v>
      </c>
      <c r="BA92" s="68" t="n">
        <f aca="false">AK92/AD92</f>
        <v>0.427777777777778</v>
      </c>
      <c r="BB92" s="52" t="n">
        <f aca="false">A92</f>
        <v>38961</v>
      </c>
    </row>
    <row r="93" customFormat="false" ht="12.75" hidden="false" customHeight="false" outlineLevel="0" collapsed="false">
      <c r="A93" s="52" t="n">
        <v>38991</v>
      </c>
      <c r="B93" s="59" t="n">
        <v>39.6</v>
      </c>
      <c r="C93" s="59" t="n">
        <v>25.7112903225806</v>
      </c>
      <c r="D93" s="60" t="n">
        <v>38.35</v>
      </c>
      <c r="E93" s="60" t="n">
        <v>27.6375</v>
      </c>
      <c r="F93" s="60" t="n">
        <f aca="false">((G93*AD93)-(B93*AE93))*(1/AF93)</f>
        <v>26.1810975609756</v>
      </c>
      <c r="G93" s="54" t="n">
        <f aca="false">((Z93*16*E93)+(B93*W93*16)+(X93*8*C93))/(X93*24)</f>
        <v>33.6841397849462</v>
      </c>
      <c r="H93" s="54" t="n">
        <f aca="false">(F93*AF93+B93*AE93)/AD93</f>
        <v>33.6841397849462</v>
      </c>
      <c r="I93" s="54" t="n">
        <f aca="false">B93*$C$5+F93*$C$6</f>
        <v>33.6956829268293</v>
      </c>
      <c r="K93" s="76" t="n">
        <v>3.34654632437956</v>
      </c>
      <c r="M93" s="71" t="n">
        <v>1.391500645375</v>
      </c>
      <c r="N93" s="71" t="n">
        <v>0.062880254417701</v>
      </c>
      <c r="O93" s="35" t="n">
        <f aca="false">1/((1+N93)^((A93-$B$2)/365))</f>
        <v>3.18568214937932</v>
      </c>
      <c r="Q93" s="54" t="n">
        <f aca="false">M93*B93</f>
        <v>55.10342555685</v>
      </c>
      <c r="R93" s="54" t="n">
        <f aca="false">C93*M93</f>
        <v>35.777277077295</v>
      </c>
      <c r="S93" s="54" t="n">
        <f aca="false">M93*G93</f>
        <v>46.8715022496544</v>
      </c>
      <c r="T93" s="54" t="n">
        <f aca="false">F93*M93</f>
        <v>36.4310141527234</v>
      </c>
      <c r="V93" s="56" t="n">
        <f aca="false">Z93+AC93</f>
        <v>5</v>
      </c>
      <c r="W93" s="56" t="n">
        <f aca="false">X93-V93</f>
        <v>26</v>
      </c>
      <c r="X93" s="85" t="n">
        <f aca="false">X81</f>
        <v>31</v>
      </c>
      <c r="Y93" s="77" t="n">
        <v>4</v>
      </c>
      <c r="Z93" s="77" t="n">
        <v>5</v>
      </c>
      <c r="AA93" s="85" t="n">
        <f aca="false">AA81</f>
        <v>10</v>
      </c>
      <c r="AB93" s="85" t="n">
        <f aca="false">AB81</f>
        <v>21</v>
      </c>
      <c r="AD93" s="0" t="n">
        <f aca="false">X93*24</f>
        <v>744</v>
      </c>
      <c r="AE93" s="0" t="n">
        <f aca="false">W93*16</f>
        <v>416</v>
      </c>
      <c r="AF93" s="0" t="n">
        <f aca="false">V93*24+W93*8</f>
        <v>328</v>
      </c>
      <c r="AH93" s="0" t="n">
        <f aca="false">X93*24</f>
        <v>744</v>
      </c>
      <c r="AI93" s="0" t="n">
        <f aca="false">AB93*16</f>
        <v>336</v>
      </c>
      <c r="AJ93" s="0" t="n">
        <f aca="false">AB93*13</f>
        <v>273</v>
      </c>
      <c r="AK93" s="0" t="n">
        <f aca="false">AB93*14</f>
        <v>294</v>
      </c>
      <c r="AL93" s="0" t="n">
        <f aca="false">AB93*8</f>
        <v>168</v>
      </c>
      <c r="AM93" s="0" t="n">
        <f aca="false">AA93*24</f>
        <v>240</v>
      </c>
      <c r="AO93" s="68" t="n">
        <f aca="false">AI93/AH93</f>
        <v>0.451612903225806</v>
      </c>
      <c r="AP93" s="68" t="n">
        <f aca="false">AL93/AH93</f>
        <v>0.225806451612903</v>
      </c>
      <c r="AQ93" s="68" t="n">
        <f aca="false">1-(AO93+AP93)</f>
        <v>0.32258064516129</v>
      </c>
      <c r="AR93" s="48" t="n">
        <f aca="false">AQ93+AP93</f>
        <v>0.548387096774194</v>
      </c>
      <c r="BA93" s="68" t="n">
        <f aca="false">AK93/AD93</f>
        <v>0.395161290322581</v>
      </c>
      <c r="BB93" s="52" t="n">
        <f aca="false">A93</f>
        <v>38991</v>
      </c>
    </row>
    <row r="94" customFormat="false" ht="12.75" hidden="false" customHeight="false" outlineLevel="0" collapsed="false">
      <c r="A94" s="52" t="n">
        <v>39022</v>
      </c>
      <c r="B94" s="59" t="n">
        <v>36.85</v>
      </c>
      <c r="C94" s="59" t="n">
        <v>26.4875</v>
      </c>
      <c r="D94" s="60" t="n">
        <v>37.1</v>
      </c>
      <c r="E94" s="60" t="n">
        <v>25.3875</v>
      </c>
      <c r="F94" s="60" t="n">
        <f aca="false">((G94*AD94)-(B94*AE94))*(1/AF94)</f>
        <v>24.943125</v>
      </c>
      <c r="G94" s="54" t="n">
        <f aca="false">((Z94*16*E94)+(B94*W94*16)+(X94*8*C94))/(X94*24)</f>
        <v>31.5580555555556</v>
      </c>
      <c r="H94" s="54" t="n">
        <f aca="false">(F94*AF94+B94*AE94)/AD94</f>
        <v>31.5580555555556</v>
      </c>
      <c r="I94" s="54" t="n">
        <f aca="false">B94*$C$5+F94*$C$6</f>
        <v>31.610975</v>
      </c>
      <c r="K94" s="76" t="n">
        <v>3.75061892451564</v>
      </c>
      <c r="M94" s="71" t="n">
        <v>1.390263663427</v>
      </c>
      <c r="N94" s="71" t="n">
        <v>0.062893340365436</v>
      </c>
      <c r="O94" s="35" t="n">
        <f aca="false">1/((1+N94)^((A94-$B$2)/365))</f>
        <v>3.16996322717439</v>
      </c>
      <c r="Q94" s="54" t="n">
        <f aca="false">M94*B94</f>
        <v>51.231215997285</v>
      </c>
      <c r="R94" s="54" t="n">
        <f aca="false">C94*M94</f>
        <v>36.8246087850227</v>
      </c>
      <c r="S94" s="54" t="n">
        <f aca="false">M94*G94</f>
        <v>43.8740179272995</v>
      </c>
      <c r="T94" s="54" t="n">
        <f aca="false">F94*M94</f>
        <v>34.6775203398176</v>
      </c>
      <c r="V94" s="56" t="n">
        <f aca="false">Z94+AC94</f>
        <v>5</v>
      </c>
      <c r="W94" s="56" t="n">
        <f aca="false">X94-V94</f>
        <v>25</v>
      </c>
      <c r="X94" s="85" t="n">
        <f aca="false">X82</f>
        <v>30</v>
      </c>
      <c r="Y94" s="77" t="n">
        <v>4</v>
      </c>
      <c r="Z94" s="77" t="n">
        <v>4</v>
      </c>
      <c r="AA94" s="85" t="n">
        <f aca="false">AA82</f>
        <v>8</v>
      </c>
      <c r="AB94" s="85" t="n">
        <f aca="false">AB82</f>
        <v>22</v>
      </c>
      <c r="AC94" s="0" t="n">
        <v>1</v>
      </c>
      <c r="AD94" s="0" t="n">
        <f aca="false">X94*24</f>
        <v>720</v>
      </c>
      <c r="AE94" s="0" t="n">
        <f aca="false">W94*16</f>
        <v>400</v>
      </c>
      <c r="AF94" s="0" t="n">
        <f aca="false">V94*24+W94*8</f>
        <v>320</v>
      </c>
      <c r="AH94" s="0" t="n">
        <f aca="false">X94*24</f>
        <v>720</v>
      </c>
      <c r="AI94" s="0" t="n">
        <f aca="false">AB94*16</f>
        <v>352</v>
      </c>
      <c r="AJ94" s="0" t="n">
        <f aca="false">AB94*13</f>
        <v>286</v>
      </c>
      <c r="AK94" s="0" t="n">
        <f aca="false">AB94*14</f>
        <v>308</v>
      </c>
      <c r="AL94" s="0" t="n">
        <f aca="false">AB94*8</f>
        <v>176</v>
      </c>
      <c r="AM94" s="0" t="n">
        <f aca="false">AA94*24</f>
        <v>192</v>
      </c>
      <c r="AO94" s="68" t="n">
        <f aca="false">AI94/AH94</f>
        <v>0.488888888888889</v>
      </c>
      <c r="AP94" s="68" t="n">
        <f aca="false">AL94/AH94</f>
        <v>0.244444444444444</v>
      </c>
      <c r="AQ94" s="68" t="n">
        <f aca="false">1-(AO94+AP94)</f>
        <v>0.266666666666667</v>
      </c>
      <c r="AR94" s="48" t="n">
        <f aca="false">AQ94+AP94</f>
        <v>0.511111111111111</v>
      </c>
      <c r="BA94" s="68" t="n">
        <f aca="false">AK94/AD94</f>
        <v>0.427777777777778</v>
      </c>
      <c r="BB94" s="52" t="n">
        <f aca="false">A94</f>
        <v>39022</v>
      </c>
    </row>
    <row r="95" customFormat="false" ht="12.75" hidden="false" customHeight="false" outlineLevel="0" collapsed="false">
      <c r="A95" s="52" t="n">
        <v>39052</v>
      </c>
      <c r="B95" s="59" t="n">
        <v>37.35</v>
      </c>
      <c r="C95" s="59" t="n">
        <v>25.5983870967742</v>
      </c>
      <c r="D95" s="60" t="n">
        <v>37.1</v>
      </c>
      <c r="E95" s="60" t="n">
        <v>25.0125</v>
      </c>
      <c r="F95" s="60" t="n">
        <f aca="false">((G95*AD95)-(B95*AE95))*(1/AF95)</f>
        <v>24.271511627907</v>
      </c>
      <c r="G95" s="54" t="n">
        <f aca="false">((Z95*16*E95)+(B95*W95*16)+(X95*8*C95))/(X95*24)</f>
        <v>31.3029569892473</v>
      </c>
      <c r="H95" s="54" t="n">
        <f aca="false">(F95*AF95+B95*AE95)/AD95</f>
        <v>31.3029569892473</v>
      </c>
      <c r="I95" s="54" t="n">
        <f aca="false">B95*$C$5+F95*$C$6</f>
        <v>31.5954651162791</v>
      </c>
      <c r="K95" s="76" t="n">
        <v>3.88219184659743</v>
      </c>
      <c r="M95" s="71" t="n">
        <v>1.389064310675</v>
      </c>
      <c r="N95" s="71" t="n">
        <v>0.062906004185879</v>
      </c>
      <c r="O95" s="35" t="n">
        <f aca="false">1/((1+N95)^((A95-$B$2)/365))</f>
        <v>3.15481892879799</v>
      </c>
      <c r="Q95" s="54" t="n">
        <f aca="false">M95*B95</f>
        <v>51.8815520037113</v>
      </c>
      <c r="R95" s="54" t="n">
        <f aca="false">C95*M95</f>
        <v>35.5578059269725</v>
      </c>
      <c r="S95" s="54" t="n">
        <f aca="false">M95*G95</f>
        <v>43.481820372358</v>
      </c>
      <c r="T95" s="54" t="n">
        <f aca="false">F95*M95</f>
        <v>33.7146905684589</v>
      </c>
      <c r="V95" s="56" t="n">
        <f aca="false">Z95+AC95</f>
        <v>6</v>
      </c>
      <c r="W95" s="56" t="n">
        <f aca="false">X95-V95</f>
        <v>25</v>
      </c>
      <c r="X95" s="85" t="n">
        <f aca="false">X83</f>
        <v>31</v>
      </c>
      <c r="Y95" s="77" t="n">
        <v>5</v>
      </c>
      <c r="Z95" s="77" t="n">
        <v>5</v>
      </c>
      <c r="AA95" s="85" t="n">
        <f aca="false">AA83</f>
        <v>9</v>
      </c>
      <c r="AB95" s="85" t="n">
        <f aca="false">AB83</f>
        <v>22</v>
      </c>
      <c r="AC95" s="0" t="n">
        <v>1</v>
      </c>
      <c r="AD95" s="0" t="n">
        <f aca="false">X95*24</f>
        <v>744</v>
      </c>
      <c r="AE95" s="0" t="n">
        <f aca="false">W95*16</f>
        <v>400</v>
      </c>
      <c r="AF95" s="0" t="n">
        <f aca="false">V95*24+W95*8</f>
        <v>344</v>
      </c>
      <c r="AH95" s="0" t="n">
        <f aca="false">X95*24</f>
        <v>744</v>
      </c>
      <c r="AI95" s="0" t="n">
        <f aca="false">AB95*16</f>
        <v>352</v>
      </c>
      <c r="AJ95" s="0" t="n">
        <f aca="false">AB95*13</f>
        <v>286</v>
      </c>
      <c r="AK95" s="0" t="n">
        <f aca="false">AB95*14</f>
        <v>308</v>
      </c>
      <c r="AL95" s="0" t="n">
        <f aca="false">AB95*8</f>
        <v>176</v>
      </c>
      <c r="AM95" s="0" t="n">
        <f aca="false">AA95*24</f>
        <v>216</v>
      </c>
      <c r="AO95" s="68" t="n">
        <f aca="false">AI95/AH95</f>
        <v>0.473118279569893</v>
      </c>
      <c r="AP95" s="68" t="n">
        <f aca="false">AL95/AH95</f>
        <v>0.236559139784946</v>
      </c>
      <c r="AQ95" s="68" t="n">
        <f aca="false">1-(AO95+AP95)</f>
        <v>0.290322580645161</v>
      </c>
      <c r="AR95" s="48" t="n">
        <f aca="false">AQ95+AP95</f>
        <v>0.526881720430108</v>
      </c>
      <c r="BA95" s="68" t="n">
        <f aca="false">AK95/AD95</f>
        <v>0.413978494623656</v>
      </c>
      <c r="BB95" s="52" t="n">
        <f aca="false">A95</f>
        <v>39052</v>
      </c>
    </row>
    <row r="96" customFormat="false" ht="12.75" hidden="false" customHeight="false" outlineLevel="0" collapsed="false">
      <c r="A96" s="52" t="n">
        <v>39083</v>
      </c>
      <c r="B96" s="59" t="n">
        <v>32.45</v>
      </c>
      <c r="C96" s="59" t="n">
        <v>26.6846774193548</v>
      </c>
      <c r="D96" s="60" t="n">
        <v>32.45</v>
      </c>
      <c r="E96" s="60" t="n">
        <v>24.7125</v>
      </c>
      <c r="F96" s="60" t="n">
        <f aca="false">((G96*AD96)-(B96*AE96))*(1/AF96)</f>
        <v>24.9981707317073</v>
      </c>
      <c r="G96" s="54" t="n">
        <f aca="false">((Z96*16*E96)+(B96*W96*16)+(X96*8*C96))/(X96*24)</f>
        <v>29.1647849462366</v>
      </c>
      <c r="H96" s="54" t="n">
        <f aca="false">(F96*AF96+B96*AE96)/AD96</f>
        <v>29.1647849462366</v>
      </c>
      <c r="I96" s="54" t="n">
        <f aca="false">B96*$C$5+F96*$C$6</f>
        <v>29.1711951219512</v>
      </c>
      <c r="K96" s="76" t="n">
        <v>4.13663232490911</v>
      </c>
      <c r="M96" s="71" t="n">
        <v>1.387822638496</v>
      </c>
      <c r="N96" s="71" t="n">
        <v>0.062919090133725</v>
      </c>
      <c r="O96" s="35" t="n">
        <f aca="false">1/((1+N96)^((A96-$B$2)/365))</f>
        <v>3.13923935718835</v>
      </c>
      <c r="Q96" s="54" t="n">
        <f aca="false">M96*B96</f>
        <v>45.0348446191952</v>
      </c>
      <c r="R96" s="54" t="n">
        <f aca="false">C96*M96</f>
        <v>37.0335994235437</v>
      </c>
      <c r="S96" s="54" t="n">
        <f aca="false">M96*G96</f>
        <v>40.4755487952545</v>
      </c>
      <c r="T96" s="54" t="n">
        <f aca="false">F96*M96</f>
        <v>34.6930272624515</v>
      </c>
      <c r="V96" s="56" t="n">
        <f aca="false">Z96+AC96</f>
        <v>5</v>
      </c>
      <c r="W96" s="56" t="n">
        <f aca="false">X96-V96</f>
        <v>26</v>
      </c>
      <c r="X96" s="85" t="n">
        <f aca="false">X84</f>
        <v>31</v>
      </c>
      <c r="Y96" s="78" t="n">
        <v>4</v>
      </c>
      <c r="Z96" s="78" t="n">
        <v>4</v>
      </c>
      <c r="AA96" s="85" t="n">
        <f aca="false">AA84</f>
        <v>10</v>
      </c>
      <c r="AB96" s="85" t="n">
        <f aca="false">AB84</f>
        <v>21</v>
      </c>
      <c r="AC96" s="0" t="n">
        <v>1</v>
      </c>
      <c r="AD96" s="0" t="n">
        <f aca="false">X96*24</f>
        <v>744</v>
      </c>
      <c r="AE96" s="0" t="n">
        <f aca="false">W96*16</f>
        <v>416</v>
      </c>
      <c r="AF96" s="0" t="n">
        <f aca="false">V96*24+W96*8</f>
        <v>328</v>
      </c>
      <c r="AH96" s="0" t="n">
        <f aca="false">X96*24</f>
        <v>744</v>
      </c>
      <c r="AI96" s="0" t="n">
        <f aca="false">AB96*16</f>
        <v>336</v>
      </c>
      <c r="AJ96" s="0" t="n">
        <f aca="false">AB96*13</f>
        <v>273</v>
      </c>
      <c r="AK96" s="0" t="n">
        <f aca="false">AB96*14</f>
        <v>294</v>
      </c>
      <c r="AL96" s="0" t="n">
        <f aca="false">AB96*8</f>
        <v>168</v>
      </c>
      <c r="AM96" s="0" t="n">
        <f aca="false">AA96*24</f>
        <v>240</v>
      </c>
      <c r="AO96" s="68" t="n">
        <f aca="false">AI96/AH96</f>
        <v>0.451612903225806</v>
      </c>
      <c r="AP96" s="68" t="n">
        <f aca="false">AL96/AH96</f>
        <v>0.225806451612903</v>
      </c>
      <c r="AQ96" s="68" t="n">
        <f aca="false">1-(AO96+AP96)</f>
        <v>0.32258064516129</v>
      </c>
      <c r="AR96" s="48" t="n">
        <f aca="false">AQ96+AP96</f>
        <v>0.548387096774194</v>
      </c>
      <c r="BA96" s="68" t="n">
        <f aca="false">AK96/AD96</f>
        <v>0.395161290322581</v>
      </c>
      <c r="BB96" s="52" t="n">
        <f aca="false">A96</f>
        <v>39083</v>
      </c>
    </row>
    <row r="97" customFormat="false" ht="12.75" hidden="false" customHeight="false" outlineLevel="0" collapsed="false">
      <c r="A97" s="52" t="n">
        <v>39114</v>
      </c>
      <c r="B97" s="59" t="n">
        <v>30.95</v>
      </c>
      <c r="C97" s="59" t="n">
        <v>25.6535714285714</v>
      </c>
      <c r="D97" s="60" t="n">
        <v>30.95</v>
      </c>
      <c r="E97" s="60" t="n">
        <v>23.5875</v>
      </c>
      <c r="F97" s="60" t="n">
        <f aca="false">((G97*AD97)-(B97*AE97))*(1/AF97)</f>
        <v>25.1944444444444</v>
      </c>
      <c r="G97" s="54" t="n">
        <f aca="false">((Z97*16*E97)+(B97*W97*16)+(X97*8*C97))/(X97*24)</f>
        <v>28.4833333333333</v>
      </c>
      <c r="H97" s="54" t="n">
        <f aca="false">(F97*AF97+B97*AE97)/AD97</f>
        <v>28.4833333333333</v>
      </c>
      <c r="I97" s="54" t="n">
        <f aca="false">B97*$C$5+F97*$C$6</f>
        <v>28.4175555555556</v>
      </c>
      <c r="K97" s="76" t="n">
        <v>3.98530546602032</v>
      </c>
      <c r="M97" s="71" t="n">
        <v>1.38657859531</v>
      </c>
      <c r="N97" s="71" t="n">
        <v>0.062932176081629</v>
      </c>
      <c r="O97" s="35" t="n">
        <f aca="false">1/((1+N97)^((A97-$B$2)/365))</f>
        <v>3.12373018146722</v>
      </c>
      <c r="Q97" s="54" t="n">
        <f aca="false">M97*B97</f>
        <v>42.9146075248445</v>
      </c>
      <c r="R97" s="54" t="n">
        <f aca="false">C97*M97</f>
        <v>35.5706930361133</v>
      </c>
      <c r="S97" s="54" t="n">
        <f aca="false">M97*G97</f>
        <v>39.4943803230798</v>
      </c>
      <c r="T97" s="54" t="n">
        <f aca="false">F97*M97</f>
        <v>34.9340773873936</v>
      </c>
      <c r="V97" s="56" t="n">
        <f aca="false">Z97+AC97</f>
        <v>4</v>
      </c>
      <c r="W97" s="56" t="n">
        <f aca="false">X97-V97</f>
        <v>24</v>
      </c>
      <c r="X97" s="85" t="n">
        <f aca="false">X85</f>
        <v>28</v>
      </c>
      <c r="Y97" s="77" t="n">
        <v>4</v>
      </c>
      <c r="Z97" s="77" t="n">
        <v>4</v>
      </c>
      <c r="AA97" s="85" t="n">
        <f aca="false">AA85</f>
        <v>8</v>
      </c>
      <c r="AB97" s="85" t="n">
        <f aca="false">AB85</f>
        <v>20</v>
      </c>
      <c r="AD97" s="0" t="n">
        <f aca="false">X97*24</f>
        <v>672</v>
      </c>
      <c r="AE97" s="0" t="n">
        <f aca="false">W97*16</f>
        <v>384</v>
      </c>
      <c r="AF97" s="0" t="n">
        <f aca="false">V97*24+W97*8</f>
        <v>288</v>
      </c>
      <c r="AH97" s="0" t="n">
        <f aca="false">X97*24</f>
        <v>672</v>
      </c>
      <c r="AI97" s="0" t="n">
        <f aca="false">AB97*16</f>
        <v>320</v>
      </c>
      <c r="AJ97" s="0" t="n">
        <f aca="false">AB97*13</f>
        <v>260</v>
      </c>
      <c r="AK97" s="0" t="n">
        <f aca="false">AB97*14</f>
        <v>280</v>
      </c>
      <c r="AL97" s="0" t="n">
        <f aca="false">AB97*8</f>
        <v>160</v>
      </c>
      <c r="AM97" s="0" t="n">
        <f aca="false">AA97*24</f>
        <v>192</v>
      </c>
      <c r="AO97" s="68" t="n">
        <f aca="false">AI97/AH97</f>
        <v>0.476190476190476</v>
      </c>
      <c r="AP97" s="68" t="n">
        <f aca="false">AL97/AH97</f>
        <v>0.238095238095238</v>
      </c>
      <c r="AQ97" s="68" t="n">
        <f aca="false">1-(AO97+AP97)</f>
        <v>0.285714285714286</v>
      </c>
      <c r="AR97" s="48" t="n">
        <f aca="false">AQ97+AP97</f>
        <v>0.523809523809524</v>
      </c>
      <c r="BA97" s="68" t="n">
        <f aca="false">AK97/AD97</f>
        <v>0.416666666666667</v>
      </c>
      <c r="BB97" s="52" t="n">
        <f aca="false">A97</f>
        <v>39114</v>
      </c>
    </row>
    <row r="98" customFormat="false" ht="12.75" hidden="false" customHeight="false" outlineLevel="0" collapsed="false">
      <c r="A98" s="52" t="n">
        <v>39142</v>
      </c>
      <c r="B98" s="59" t="n">
        <v>29.2</v>
      </c>
      <c r="C98" s="59" t="n">
        <v>22.1806451612903</v>
      </c>
      <c r="D98" s="60" t="n">
        <v>29.2</v>
      </c>
      <c r="E98" s="60" t="n">
        <v>22.275</v>
      </c>
      <c r="F98" s="60" t="n">
        <f aca="false">((G98*AD98)-(B98*AE98))*(1/AF98)</f>
        <v>22.2</v>
      </c>
      <c r="G98" s="54" t="n">
        <f aca="false">((Z98*16*E98)+(B98*W98*16)+(X98*8*C98))/(X98*24)</f>
        <v>26.2645161290323</v>
      </c>
      <c r="H98" s="54" t="n">
        <f aca="false">(F98*AF98+B98*AE98)/AD98</f>
        <v>26.2645161290323</v>
      </c>
      <c r="I98" s="54" t="n">
        <f aca="false">B98*$C$5+F98*$C$6</f>
        <v>26.12</v>
      </c>
      <c r="K98" s="76" t="n">
        <v>3.79894994453198</v>
      </c>
      <c r="M98" s="71" t="n">
        <v>1.385452912517</v>
      </c>
      <c r="N98" s="71" t="n">
        <v>0.062943995647526</v>
      </c>
      <c r="O98" s="35" t="n">
        <f aca="false">1/((1+N98)^((A98-$B$2)/365))</f>
        <v>3.10978216517698</v>
      </c>
      <c r="Q98" s="54" t="n">
        <f aca="false">M98*B98</f>
        <v>40.4552250454964</v>
      </c>
      <c r="R98" s="54" t="n">
        <f aca="false">C98*M98</f>
        <v>30.7302394402158</v>
      </c>
      <c r="S98" s="54" t="n">
        <f aca="false">M98*G98</f>
        <v>36.3882503668175</v>
      </c>
      <c r="T98" s="54" t="n">
        <f aca="false">F98*M98</f>
        <v>30.7570546578774</v>
      </c>
      <c r="V98" s="56" t="n">
        <f aca="false">Z98+AC98</f>
        <v>4</v>
      </c>
      <c r="W98" s="56" t="n">
        <f aca="false">X98-V98</f>
        <v>27</v>
      </c>
      <c r="X98" s="85" t="n">
        <f aca="false">X86</f>
        <v>31</v>
      </c>
      <c r="Y98" s="77" t="n">
        <v>5</v>
      </c>
      <c r="Z98" s="77" t="n">
        <v>4</v>
      </c>
      <c r="AA98" s="85" t="n">
        <f aca="false">AA86</f>
        <v>8</v>
      </c>
      <c r="AB98" s="85" t="n">
        <f aca="false">AB86</f>
        <v>23</v>
      </c>
      <c r="AD98" s="0" t="n">
        <f aca="false">X98*24</f>
        <v>744</v>
      </c>
      <c r="AE98" s="0" t="n">
        <f aca="false">W98*16</f>
        <v>432</v>
      </c>
      <c r="AF98" s="0" t="n">
        <f aca="false">V98*24+W98*8</f>
        <v>312</v>
      </c>
      <c r="AH98" s="0" t="n">
        <f aca="false">X98*24</f>
        <v>744</v>
      </c>
      <c r="AI98" s="0" t="n">
        <f aca="false">AB98*16</f>
        <v>368</v>
      </c>
      <c r="AJ98" s="0" t="n">
        <f aca="false">AB98*13</f>
        <v>299</v>
      </c>
      <c r="AK98" s="0" t="n">
        <f aca="false">AB98*14</f>
        <v>322</v>
      </c>
      <c r="AL98" s="0" t="n">
        <f aca="false">AB98*8</f>
        <v>184</v>
      </c>
      <c r="AM98" s="0" t="n">
        <f aca="false">AA98*24</f>
        <v>192</v>
      </c>
      <c r="AO98" s="68" t="n">
        <f aca="false">AI98/AH98</f>
        <v>0.494623655913979</v>
      </c>
      <c r="AP98" s="68" t="n">
        <f aca="false">AL98/AH98</f>
        <v>0.247311827956989</v>
      </c>
      <c r="AQ98" s="68" t="n">
        <f aca="false">1-(AO98+AP98)</f>
        <v>0.258064516129032</v>
      </c>
      <c r="AR98" s="48" t="n">
        <f aca="false">AQ98+AP98</f>
        <v>0.505376344086022</v>
      </c>
      <c r="BA98" s="68" t="n">
        <f aca="false">AK98/AD98</f>
        <v>0.432795698924731</v>
      </c>
      <c r="BB98" s="52" t="n">
        <f aca="false">A98</f>
        <v>39142</v>
      </c>
    </row>
    <row r="99" customFormat="false" ht="12.75" hidden="false" customHeight="false" outlineLevel="0" collapsed="false">
      <c r="A99" s="52" t="n">
        <v>39173</v>
      </c>
      <c r="B99" s="59" t="n">
        <v>26.95</v>
      </c>
      <c r="C99" s="59" t="n">
        <v>17.2042</v>
      </c>
      <c r="D99" s="60" t="n">
        <v>26.95</v>
      </c>
      <c r="E99" s="60" t="n">
        <v>20.5875</v>
      </c>
      <c r="F99" s="60" t="n">
        <f aca="false">((G99*AD99)-(B99*AE99))*(1/AF99)</f>
        <v>18.050025</v>
      </c>
      <c r="G99" s="54" t="n">
        <f aca="false">((Z99*16*E99)+(B99*W99*16)+(X99*8*C99))/(X99*24)</f>
        <v>22.9944555555556</v>
      </c>
      <c r="H99" s="54" t="n">
        <f aca="false">(F99*AF99+B99*AE99)/AD99</f>
        <v>22.9944555555556</v>
      </c>
      <c r="I99" s="54" t="n">
        <f aca="false">B99*$C$5+F99*$C$6</f>
        <v>23.034011</v>
      </c>
      <c r="K99" s="76" t="n">
        <v>3.55970303071704</v>
      </c>
      <c r="M99" s="71" t="n">
        <v>1.384204380189</v>
      </c>
      <c r="N99" s="71" t="n">
        <v>0.062957081595538</v>
      </c>
      <c r="O99" s="35" t="n">
        <f aca="false">1/((1+N99)^((A99-$B$2)/365))</f>
        <v>3.09440618802219</v>
      </c>
      <c r="Q99" s="54" t="n">
        <f aca="false">M99*B99</f>
        <v>37.3043080460936</v>
      </c>
      <c r="R99" s="54" t="n">
        <f aca="false">C99*M99</f>
        <v>23.8141289976476</v>
      </c>
      <c r="S99" s="54" t="n">
        <f aca="false">M99*G99</f>
        <v>31.8290261000613</v>
      </c>
      <c r="T99" s="54" t="n">
        <f aca="false">F99*M99</f>
        <v>24.984923667521</v>
      </c>
      <c r="V99" s="56" t="n">
        <f aca="false">Z99+AC99</f>
        <v>5</v>
      </c>
      <c r="W99" s="56" t="n">
        <f aca="false">X99-V99</f>
        <v>25</v>
      </c>
      <c r="X99" s="85" t="n">
        <f aca="false">X87</f>
        <v>30</v>
      </c>
      <c r="Y99" s="77" t="n">
        <v>4</v>
      </c>
      <c r="Z99" s="77" t="n">
        <v>5</v>
      </c>
      <c r="AA99" s="85" t="n">
        <f aca="false">AA87</f>
        <v>9</v>
      </c>
      <c r="AB99" s="85" t="n">
        <f aca="false">AB87</f>
        <v>21</v>
      </c>
      <c r="AD99" s="0" t="n">
        <f aca="false">X99*24</f>
        <v>720</v>
      </c>
      <c r="AE99" s="0" t="n">
        <f aca="false">W99*16</f>
        <v>400</v>
      </c>
      <c r="AF99" s="0" t="n">
        <f aca="false">V99*24+W99*8</f>
        <v>320</v>
      </c>
      <c r="AH99" s="0" t="n">
        <f aca="false">X99*24</f>
        <v>720</v>
      </c>
      <c r="AI99" s="0" t="n">
        <f aca="false">AB99*16</f>
        <v>336</v>
      </c>
      <c r="AJ99" s="0" t="n">
        <f aca="false">AB99*13</f>
        <v>273</v>
      </c>
      <c r="AK99" s="0" t="n">
        <f aca="false">AB99*14</f>
        <v>294</v>
      </c>
      <c r="AL99" s="0" t="n">
        <f aca="false">AB99*8</f>
        <v>168</v>
      </c>
      <c r="AM99" s="0" t="n">
        <f aca="false">AA99*24</f>
        <v>216</v>
      </c>
      <c r="AO99" s="68" t="n">
        <f aca="false">AI99/AH99</f>
        <v>0.466666666666667</v>
      </c>
      <c r="AP99" s="68" t="n">
        <f aca="false">AL99/AH99</f>
        <v>0.233333333333333</v>
      </c>
      <c r="AQ99" s="68" t="n">
        <f aca="false">1-(AO99+AP99)</f>
        <v>0.3</v>
      </c>
      <c r="AR99" s="48" t="n">
        <f aca="false">AQ99+AP99</f>
        <v>0.533333333333333</v>
      </c>
      <c r="BA99" s="68" t="n">
        <f aca="false">AK99/AD99</f>
        <v>0.408333333333333</v>
      </c>
      <c r="BB99" s="52" t="n">
        <f aca="false">A99</f>
        <v>39173</v>
      </c>
    </row>
    <row r="100" customFormat="false" ht="12.75" hidden="false" customHeight="false" outlineLevel="0" collapsed="false">
      <c r="A100" s="52" t="n">
        <v>39203</v>
      </c>
      <c r="B100" s="59" t="n">
        <v>24.95</v>
      </c>
      <c r="C100" s="59" t="n">
        <v>7.64838709677419</v>
      </c>
      <c r="D100" s="60" t="n">
        <v>24.95</v>
      </c>
      <c r="E100" s="60" t="n">
        <v>18.525</v>
      </c>
      <c r="F100" s="60" t="n">
        <f aca="false">((G100*AD100)-(B100*AE100))*(1/AF100)</f>
        <v>9.39756097560975</v>
      </c>
      <c r="G100" s="54" t="n">
        <f aca="false">((Z100*16*E100)+(B100*W100*16)+(X100*8*C100))/(X100*24)</f>
        <v>18.0935483870968</v>
      </c>
      <c r="H100" s="54" t="n">
        <f aca="false">(F100*AF100+B100*AE100)/AD100</f>
        <v>18.0935483870968</v>
      </c>
      <c r="I100" s="54" t="n">
        <f aca="false">B100*$C$5+F100*$C$6</f>
        <v>18.1069268292683</v>
      </c>
      <c r="K100" s="76" t="n">
        <v>3.49594402153964</v>
      </c>
      <c r="M100" s="71" t="n">
        <v>1.382993888945</v>
      </c>
      <c r="N100" s="71" t="n">
        <v>0.062969745416249</v>
      </c>
      <c r="O100" s="35" t="n">
        <f aca="false">1/((1+N100)^((A100-$B$2)/365))</f>
        <v>3.07959245984908</v>
      </c>
      <c r="Q100" s="54" t="n">
        <f aca="false">M100*B100</f>
        <v>34.5056975291778</v>
      </c>
      <c r="R100" s="54" t="n">
        <f aca="false">C100*M100</f>
        <v>10.5776726151245</v>
      </c>
      <c r="S100" s="54" t="n">
        <f aca="false">M100*G100</f>
        <v>25.0232668486855</v>
      </c>
      <c r="T100" s="54" t="n">
        <f aca="false">F100*M100</f>
        <v>12.9967694002563</v>
      </c>
      <c r="V100" s="56" t="n">
        <f aca="false">Z100+AC100</f>
        <v>5</v>
      </c>
      <c r="W100" s="56" t="n">
        <f aca="false">X100-V100</f>
        <v>26</v>
      </c>
      <c r="X100" s="85" t="n">
        <f aca="false">X88</f>
        <v>31</v>
      </c>
      <c r="Y100" s="77" t="n">
        <v>4</v>
      </c>
      <c r="Z100" s="77" t="n">
        <v>4</v>
      </c>
      <c r="AA100" s="85" t="n">
        <f aca="false">AA88</f>
        <v>9</v>
      </c>
      <c r="AB100" s="85" t="n">
        <f aca="false">AB88</f>
        <v>22</v>
      </c>
      <c r="AC100" s="0" t="n">
        <v>1</v>
      </c>
      <c r="AD100" s="0" t="n">
        <f aca="false">X100*24</f>
        <v>744</v>
      </c>
      <c r="AE100" s="0" t="n">
        <f aca="false">W100*16</f>
        <v>416</v>
      </c>
      <c r="AF100" s="0" t="n">
        <f aca="false">V100*24+W100*8</f>
        <v>328</v>
      </c>
      <c r="AH100" s="0" t="n">
        <f aca="false">X100*24</f>
        <v>744</v>
      </c>
      <c r="AI100" s="0" t="n">
        <f aca="false">AB100*16</f>
        <v>352</v>
      </c>
      <c r="AJ100" s="0" t="n">
        <f aca="false">AB100*13</f>
        <v>286</v>
      </c>
      <c r="AK100" s="0" t="n">
        <f aca="false">AB100*14</f>
        <v>308</v>
      </c>
      <c r="AL100" s="0" t="n">
        <f aca="false">AB100*8</f>
        <v>176</v>
      </c>
      <c r="AM100" s="0" t="n">
        <f aca="false">AA100*24</f>
        <v>216</v>
      </c>
      <c r="AO100" s="68" t="n">
        <f aca="false">AI100/AH100</f>
        <v>0.473118279569893</v>
      </c>
      <c r="AP100" s="68" t="n">
        <f aca="false">AL100/AH100</f>
        <v>0.236559139784946</v>
      </c>
      <c r="AQ100" s="68" t="n">
        <f aca="false">1-(AO100+AP100)</f>
        <v>0.290322580645161</v>
      </c>
      <c r="AR100" s="48" t="n">
        <f aca="false">AQ100+AP100</f>
        <v>0.526881720430108</v>
      </c>
      <c r="BA100" s="68" t="n">
        <f aca="false">AK100/AD100</f>
        <v>0.413978494623656</v>
      </c>
      <c r="BB100" s="52" t="n">
        <f aca="false">A100</f>
        <v>39203</v>
      </c>
    </row>
    <row r="101" customFormat="false" ht="12.75" hidden="false" customHeight="false" outlineLevel="0" collapsed="false">
      <c r="A101" s="52" t="n">
        <v>39234</v>
      </c>
      <c r="B101" s="59" t="n">
        <v>26.95</v>
      </c>
      <c r="C101" s="59" t="n">
        <v>8.35</v>
      </c>
      <c r="D101" s="60" t="n">
        <v>26.95</v>
      </c>
      <c r="E101" s="60" t="n">
        <v>20.025</v>
      </c>
      <c r="F101" s="60" t="n">
        <f aca="false">((G101*AD101)-(B101*AE101))*(1/AF101)</f>
        <v>10.8078947368421</v>
      </c>
      <c r="G101" s="54" t="n">
        <f aca="false">((Z101*16*E101)+(B101*W101*16)+(X101*8*C101))/(X101*24)</f>
        <v>20.1344444444444</v>
      </c>
      <c r="H101" s="54" t="n">
        <f aca="false">(F101*AF101+B101*AE101)/AD101</f>
        <v>20.1344444444444</v>
      </c>
      <c r="I101" s="54" t="n">
        <f aca="false">B101*$C$5+F101*$C$6</f>
        <v>19.8474736842105</v>
      </c>
      <c r="K101" s="76" t="n">
        <v>3.60047365271632</v>
      </c>
      <c r="M101" s="71" t="n">
        <v>1.381740747643</v>
      </c>
      <c r="N101" s="71" t="n">
        <v>0.062982831364372</v>
      </c>
      <c r="O101" s="35" t="n">
        <f aca="false">1/((1+N101)^((A101-$B$2)/365))</f>
        <v>3.0643531261453</v>
      </c>
      <c r="Q101" s="54" t="n">
        <f aca="false">M101*B101</f>
        <v>37.2379131489789</v>
      </c>
      <c r="R101" s="54" t="n">
        <f aca="false">C101*M101</f>
        <v>11.5375352428191</v>
      </c>
      <c r="S101" s="54" t="n">
        <f aca="false">M101*G101</f>
        <v>27.8205823200431</v>
      </c>
      <c r="T101" s="54" t="n">
        <f aca="false">F101*M101</f>
        <v>14.9337085541311</v>
      </c>
      <c r="V101" s="56" t="n">
        <f aca="false">Z101+AC101</f>
        <v>4</v>
      </c>
      <c r="W101" s="56" t="n">
        <f aca="false">X101-V101</f>
        <v>26</v>
      </c>
      <c r="X101" s="85" t="n">
        <f aca="false">X89</f>
        <v>30</v>
      </c>
      <c r="Y101" s="77" t="n">
        <v>5</v>
      </c>
      <c r="Z101" s="77" t="n">
        <v>4</v>
      </c>
      <c r="AA101" s="85" t="n">
        <f aca="false">AA89</f>
        <v>8</v>
      </c>
      <c r="AB101" s="85" t="n">
        <f aca="false">AB89</f>
        <v>22</v>
      </c>
      <c r="AD101" s="0" t="n">
        <f aca="false">X101*24</f>
        <v>720</v>
      </c>
      <c r="AE101" s="0" t="n">
        <f aca="false">W101*16</f>
        <v>416</v>
      </c>
      <c r="AF101" s="0" t="n">
        <f aca="false">V101*24+W101*8</f>
        <v>304</v>
      </c>
      <c r="AH101" s="0" t="n">
        <f aca="false">X101*24</f>
        <v>720</v>
      </c>
      <c r="AI101" s="0" t="n">
        <f aca="false">AB101*16</f>
        <v>352</v>
      </c>
      <c r="AJ101" s="0" t="n">
        <f aca="false">AB101*13</f>
        <v>286</v>
      </c>
      <c r="AK101" s="0" t="n">
        <f aca="false">AB101*14</f>
        <v>308</v>
      </c>
      <c r="AL101" s="0" t="n">
        <f aca="false">AB101*8</f>
        <v>176</v>
      </c>
      <c r="AM101" s="0" t="n">
        <f aca="false">AA101*24</f>
        <v>192</v>
      </c>
      <c r="AO101" s="68" t="n">
        <f aca="false">AI101/AH101</f>
        <v>0.488888888888889</v>
      </c>
      <c r="AP101" s="68" t="n">
        <f aca="false">AL101/AH101</f>
        <v>0.244444444444444</v>
      </c>
      <c r="AQ101" s="68" t="n">
        <f aca="false">1-(AO101+AP101)</f>
        <v>0.266666666666667</v>
      </c>
      <c r="AR101" s="48" t="n">
        <f aca="false">AQ101+AP101</f>
        <v>0.511111111111111</v>
      </c>
    </row>
    <row r="102" customFormat="false" ht="12.75" hidden="false" customHeight="false" outlineLevel="0" collapsed="false">
      <c r="A102" s="52" t="n">
        <v>39264</v>
      </c>
      <c r="B102" s="59" t="n">
        <v>59.3825</v>
      </c>
      <c r="C102" s="59" t="n">
        <v>19.0274193548387</v>
      </c>
      <c r="D102" s="60" t="n">
        <v>59.3825</v>
      </c>
      <c r="E102" s="60" t="n">
        <v>43.515</v>
      </c>
      <c r="F102" s="60" t="n">
        <f aca="false">((G102*AD102)-(B102*AE102))*(1/AF102)</f>
        <v>23.8372093023256</v>
      </c>
      <c r="G102" s="54" t="n">
        <f aca="false">((Z102*16*E102)+(B102*W102*16)+(X102*8*C102))/(X102*24)</f>
        <v>42.9475806451613</v>
      </c>
      <c r="H102" s="54" t="n">
        <f aca="false">(F102*AF102+B102*AE102)/AD102</f>
        <v>42.9475806451613</v>
      </c>
      <c r="I102" s="54" t="n">
        <f aca="false">B102*$C$5+F102*$C$6</f>
        <v>43.7425720930233</v>
      </c>
      <c r="K102" s="76" t="n">
        <v>3.58434515377591</v>
      </c>
      <c r="M102" s="71" t="n">
        <v>1.380669447389</v>
      </c>
      <c r="N102" s="71" t="n">
        <v>0.062995495185191</v>
      </c>
      <c r="O102" s="35" t="n">
        <f aca="false">1/((1+N102)^((A102-$B$2)/365))</f>
        <v>3.04967110962957</v>
      </c>
      <c r="Q102" s="54" t="n">
        <f aca="false">M102*B102</f>
        <v>81.9876034595773</v>
      </c>
      <c r="R102" s="54" t="n">
        <f aca="false">C102*M102</f>
        <v>26.2705765658839</v>
      </c>
      <c r="S102" s="54" t="n">
        <f aca="false">M102*G102</f>
        <v>59.2964124360494</v>
      </c>
      <c r="T102" s="54" t="n">
        <f aca="false">F102*M102</f>
        <v>32.9113065947378</v>
      </c>
      <c r="V102" s="56" t="n">
        <f aca="false">Z102+AC102</f>
        <v>6</v>
      </c>
      <c r="W102" s="56" t="n">
        <f aca="false">X102-V102</f>
        <v>25</v>
      </c>
      <c r="X102" s="85" t="n">
        <f aca="false">X90</f>
        <v>31</v>
      </c>
      <c r="Y102" s="77" t="n">
        <v>4</v>
      </c>
      <c r="Z102" s="77" t="n">
        <v>5</v>
      </c>
      <c r="AA102" s="85" t="n">
        <f aca="false">AA90</f>
        <v>10</v>
      </c>
      <c r="AB102" s="85" t="n">
        <f aca="false">AB90</f>
        <v>21</v>
      </c>
      <c r="AC102" s="0" t="n">
        <v>1</v>
      </c>
      <c r="AD102" s="0" t="n">
        <f aca="false">X102*24</f>
        <v>744</v>
      </c>
      <c r="AE102" s="0" t="n">
        <f aca="false">W102*16</f>
        <v>400</v>
      </c>
      <c r="AF102" s="0" t="n">
        <f aca="false">V102*24+W102*8</f>
        <v>344</v>
      </c>
      <c r="AH102" s="0" t="n">
        <f aca="false">X102*24</f>
        <v>744</v>
      </c>
      <c r="AI102" s="0" t="n">
        <f aca="false">AB102*16</f>
        <v>336</v>
      </c>
      <c r="AJ102" s="0" t="n">
        <f aca="false">AB102*13</f>
        <v>273</v>
      </c>
      <c r="AK102" s="0" t="n">
        <f aca="false">AB102*14</f>
        <v>294</v>
      </c>
      <c r="AL102" s="0" t="n">
        <f aca="false">AB102*8</f>
        <v>168</v>
      </c>
      <c r="AM102" s="0" t="n">
        <f aca="false">AA102*24</f>
        <v>240</v>
      </c>
      <c r="AO102" s="68" t="n">
        <f aca="false">AI102/AH102</f>
        <v>0.451612903225806</v>
      </c>
      <c r="AP102" s="68" t="n">
        <f aca="false">AL102/AH102</f>
        <v>0.225806451612903</v>
      </c>
      <c r="AQ102" s="68" t="n">
        <f aca="false">1-(AO102+AP102)</f>
        <v>0.32258064516129</v>
      </c>
      <c r="AR102" s="48" t="n">
        <f aca="false">AQ102+AP102</f>
        <v>0.548387096774194</v>
      </c>
    </row>
    <row r="103" customFormat="false" ht="12.75" hidden="false" customHeight="false" outlineLevel="0" collapsed="false">
      <c r="A103" s="52" t="n">
        <v>39295</v>
      </c>
      <c r="B103" s="59" t="n">
        <v>72.3825</v>
      </c>
      <c r="C103" s="59" t="n">
        <v>21.3016129032258</v>
      </c>
      <c r="D103" s="60" t="n">
        <v>72.3825</v>
      </c>
      <c r="E103" s="60" t="n">
        <v>53.265</v>
      </c>
      <c r="F103" s="60" t="n">
        <f aca="false">((G103*AD103)-(B103*AE103))*(1/AF103)</f>
        <v>27.8582051282051</v>
      </c>
      <c r="G103" s="54" t="n">
        <f aca="false">((Z103*16*E103)+(B103*W103*16)+(X103*8*C103))/(X103*24)</f>
        <v>53.7110215053763</v>
      </c>
      <c r="H103" s="54" t="n">
        <f aca="false">(F103*AF103+B103*AE103)/AD103</f>
        <v>53.7110215053763</v>
      </c>
      <c r="I103" s="54" t="n">
        <f aca="false">B103*$C$5+F103*$C$6</f>
        <v>52.7918102564103</v>
      </c>
      <c r="K103" s="76" t="n">
        <v>3.58132504094502</v>
      </c>
      <c r="M103" s="71" t="n">
        <v>1.379788585962</v>
      </c>
      <c r="N103" s="71" t="n">
        <v>0.063008581133426</v>
      </c>
      <c r="O103" s="35" t="n">
        <f aca="false">1/((1+N103)^((A103-$B$2)/365))</f>
        <v>3.03456733838362</v>
      </c>
      <c r="Q103" s="54" t="n">
        <f aca="false">M103*B103</f>
        <v>99.8725473233945</v>
      </c>
      <c r="R103" s="54" t="n">
        <f aca="false">C103*M103</f>
        <v>29.3917223464518</v>
      </c>
      <c r="S103" s="54" t="n">
        <f aca="false">M103*G103</f>
        <v>74.1098544134778</v>
      </c>
      <c r="T103" s="54" t="n">
        <f aca="false">F103*M103</f>
        <v>38.4384334612855</v>
      </c>
      <c r="V103" s="56" t="n">
        <f aca="false">Z103+AC103</f>
        <v>4</v>
      </c>
      <c r="W103" s="56" t="n">
        <f aca="false">X103-V103</f>
        <v>27</v>
      </c>
      <c r="X103" s="85" t="n">
        <f aca="false">X91</f>
        <v>31</v>
      </c>
      <c r="Y103" s="77" t="n">
        <v>4</v>
      </c>
      <c r="Z103" s="77" t="n">
        <v>4</v>
      </c>
      <c r="AA103" s="85" t="n">
        <f aca="false">AA91</f>
        <v>8</v>
      </c>
      <c r="AB103" s="85" t="n">
        <f aca="false">AB91</f>
        <v>23</v>
      </c>
      <c r="AD103" s="0" t="n">
        <f aca="false">X103*24</f>
        <v>744</v>
      </c>
      <c r="AE103" s="0" t="n">
        <f aca="false">W103*16</f>
        <v>432</v>
      </c>
      <c r="AF103" s="0" t="n">
        <f aca="false">V103*24+W103*8</f>
        <v>312</v>
      </c>
      <c r="AH103" s="0" t="n">
        <f aca="false">X103*24</f>
        <v>744</v>
      </c>
      <c r="AI103" s="0" t="n">
        <f aca="false">AB103*16</f>
        <v>368</v>
      </c>
      <c r="AJ103" s="0" t="n">
        <f aca="false">AB103*13</f>
        <v>299</v>
      </c>
      <c r="AK103" s="0" t="n">
        <f aca="false">AB103*14</f>
        <v>322</v>
      </c>
      <c r="AL103" s="0" t="n">
        <f aca="false">AB103*8</f>
        <v>184</v>
      </c>
      <c r="AM103" s="0" t="n">
        <f aca="false">AA103*24</f>
        <v>192</v>
      </c>
      <c r="AO103" s="68" t="n">
        <f aca="false">AI103/AH103</f>
        <v>0.494623655913979</v>
      </c>
      <c r="AP103" s="68" t="n">
        <f aca="false">AL103/AH103</f>
        <v>0.247311827956989</v>
      </c>
      <c r="AQ103" s="68" t="n">
        <f aca="false">1-(AO103+AP103)</f>
        <v>0.258064516129032</v>
      </c>
      <c r="AR103" s="48" t="n">
        <f aca="false">AQ103+AP103</f>
        <v>0.505376344086022</v>
      </c>
    </row>
    <row r="104" customFormat="false" ht="12.75" hidden="false" customHeight="false" outlineLevel="0" collapsed="false">
      <c r="A104" s="52" t="n">
        <v>39326</v>
      </c>
      <c r="B104" s="59" t="n">
        <v>64.7</v>
      </c>
      <c r="C104" s="59" t="n">
        <v>19.925</v>
      </c>
      <c r="D104" s="60" t="n">
        <v>64.7</v>
      </c>
      <c r="E104" s="60" t="n">
        <v>47.9625</v>
      </c>
      <c r="F104" s="60" t="n">
        <f aca="false">((G104*AD104)-(B104*AE104))*(1/AF104)</f>
        <v>25.6517857142857</v>
      </c>
      <c r="G104" s="54" t="n">
        <f aca="false">((Z104*16*E104)+(B104*W104*16)+(X104*8*C104))/(X104*24)</f>
        <v>46.4775</v>
      </c>
      <c r="H104" s="54" t="n">
        <f aca="false">(F104*AF104+B104*AE104)/AD104</f>
        <v>46.4775</v>
      </c>
      <c r="I104" s="54" t="n">
        <f aca="false">B104*$C$5+F104*$C$6</f>
        <v>47.5187857142857</v>
      </c>
      <c r="K104" s="76" t="n">
        <v>3.56646887250032</v>
      </c>
      <c r="M104" s="71" t="n">
        <v>1.378913756027</v>
      </c>
      <c r="N104" s="71" t="n">
        <v>0.063021667081719</v>
      </c>
      <c r="O104" s="35" t="n">
        <f aca="false">1/((1+N104)^((A104-$B$2)/365))</f>
        <v>3.01953204757667</v>
      </c>
      <c r="Q104" s="54" t="n">
        <f aca="false">M104*B104</f>
        <v>89.2157200149469</v>
      </c>
      <c r="R104" s="54" t="n">
        <f aca="false">C104*M104</f>
        <v>27.474856588838</v>
      </c>
      <c r="S104" s="54" t="n">
        <f aca="false">M104*G104</f>
        <v>64.0884640957449</v>
      </c>
      <c r="T104" s="54" t="n">
        <f aca="false">F104*M104</f>
        <v>35.3716001880855</v>
      </c>
      <c r="V104" s="56" t="n">
        <f aca="false">Z104+AC104</f>
        <v>6</v>
      </c>
      <c r="W104" s="56" t="n">
        <f aca="false">X104-V104</f>
        <v>24</v>
      </c>
      <c r="X104" s="85" t="n">
        <f aca="false">X92</f>
        <v>30</v>
      </c>
      <c r="Y104" s="77" t="n">
        <v>5</v>
      </c>
      <c r="Z104" s="77" t="n">
        <v>5</v>
      </c>
      <c r="AA104" s="85" t="n">
        <f aca="false">AA92</f>
        <v>8</v>
      </c>
      <c r="AB104" s="85" t="n">
        <f aca="false">AB92</f>
        <v>22</v>
      </c>
      <c r="AC104" s="0" t="n">
        <v>1</v>
      </c>
      <c r="AD104" s="0" t="n">
        <f aca="false">X104*24</f>
        <v>720</v>
      </c>
      <c r="AE104" s="0" t="n">
        <f aca="false">W104*16</f>
        <v>384</v>
      </c>
      <c r="AF104" s="0" t="n">
        <f aca="false">V104*24+W104*8</f>
        <v>336</v>
      </c>
      <c r="AH104" s="0" t="n">
        <f aca="false">X104*24</f>
        <v>720</v>
      </c>
      <c r="AI104" s="0" t="n">
        <f aca="false">AB104*16</f>
        <v>352</v>
      </c>
      <c r="AJ104" s="0" t="n">
        <f aca="false">AB104*13</f>
        <v>286</v>
      </c>
      <c r="AK104" s="0" t="n">
        <f aca="false">AB104*14</f>
        <v>308</v>
      </c>
      <c r="AL104" s="0" t="n">
        <f aca="false">AB104*8</f>
        <v>176</v>
      </c>
      <c r="AM104" s="0" t="n">
        <f aca="false">AA104*24</f>
        <v>192</v>
      </c>
      <c r="AO104" s="68" t="n">
        <f aca="false">AI104/AH104</f>
        <v>0.488888888888889</v>
      </c>
      <c r="AP104" s="68" t="n">
        <f aca="false">AL104/AH104</f>
        <v>0.244444444444444</v>
      </c>
      <c r="AQ104" s="68" t="n">
        <f aca="false">1-(AO104+AP104)</f>
        <v>0.266666666666667</v>
      </c>
      <c r="AR104" s="48" t="n">
        <f aca="false">AQ104+AP104</f>
        <v>0.511111111111111</v>
      </c>
    </row>
    <row r="105" customFormat="false" ht="12.75" hidden="false" customHeight="false" outlineLevel="0" collapsed="false">
      <c r="A105" s="52" t="n">
        <v>39356</v>
      </c>
      <c r="B105" s="59" t="n">
        <v>38.45</v>
      </c>
      <c r="C105" s="59" t="n">
        <v>26.6483870967742</v>
      </c>
      <c r="D105" s="60" t="n">
        <v>38.45</v>
      </c>
      <c r="E105" s="60" t="n">
        <v>27.7125</v>
      </c>
      <c r="F105" s="60" t="n">
        <f aca="false">((G105*AD105)-(B105*AE105))*(1/AF105)</f>
        <v>26.8666666666667</v>
      </c>
      <c r="G105" s="54" t="n">
        <f aca="false">((Z105*16*E105)+(B105*W105*16)+(X105*8*C105))/(X105*24)</f>
        <v>33.5924731182796</v>
      </c>
      <c r="H105" s="54" t="n">
        <f aca="false">(F105*AF105+B105*AE105)/AD105</f>
        <v>33.5924731182796</v>
      </c>
      <c r="I105" s="54" t="n">
        <f aca="false">B105*$C$5+F105*$C$6</f>
        <v>33.3533333333333</v>
      </c>
      <c r="K105" s="76" t="n">
        <v>3.58461935894844</v>
      </c>
      <c r="M105" s="71" t="n">
        <v>1.378072879052</v>
      </c>
      <c r="N105" s="71" t="n">
        <v>0.063034330902701</v>
      </c>
      <c r="O105" s="35" t="n">
        <f aca="false">1/((1+N105)^((A105-$B$2)/365))</f>
        <v>3.00504670832541</v>
      </c>
      <c r="Q105" s="54" t="n">
        <f aca="false">M105*B105</f>
        <v>52.9869021995494</v>
      </c>
      <c r="R105" s="54" t="n">
        <f aca="false">C105*M105</f>
        <v>36.7234195285438</v>
      </c>
      <c r="S105" s="54" t="n">
        <f aca="false">M105*G105</f>
        <v>46.2928761445845</v>
      </c>
      <c r="T105" s="54" t="n">
        <f aca="false">F105*M105</f>
        <v>37.0242246838637</v>
      </c>
      <c r="V105" s="56" t="n">
        <f aca="false">Z105+AC105</f>
        <v>4</v>
      </c>
      <c r="W105" s="56" t="n">
        <f aca="false">X105-V105</f>
        <v>27</v>
      </c>
      <c r="X105" s="85" t="n">
        <f aca="false">X93</f>
        <v>31</v>
      </c>
      <c r="Y105" s="77" t="n">
        <v>4</v>
      </c>
      <c r="Z105" s="77" t="n">
        <v>4</v>
      </c>
      <c r="AA105" s="85" t="n">
        <f aca="false">AA93</f>
        <v>10</v>
      </c>
      <c r="AB105" s="85" t="n">
        <f aca="false">AB93</f>
        <v>21</v>
      </c>
      <c r="AD105" s="0" t="n">
        <f aca="false">X105*24</f>
        <v>744</v>
      </c>
      <c r="AE105" s="0" t="n">
        <f aca="false">W105*16</f>
        <v>432</v>
      </c>
      <c r="AF105" s="0" t="n">
        <f aca="false">V105*24+W105*8</f>
        <v>312</v>
      </c>
      <c r="AH105" s="0" t="n">
        <f aca="false">X105*24</f>
        <v>744</v>
      </c>
      <c r="AI105" s="0" t="n">
        <f aca="false">AB105*16</f>
        <v>336</v>
      </c>
      <c r="AJ105" s="0" t="n">
        <f aca="false">AB105*13</f>
        <v>273</v>
      </c>
      <c r="AK105" s="0" t="n">
        <f aca="false">AB105*14</f>
        <v>294</v>
      </c>
      <c r="AL105" s="0" t="n">
        <f aca="false">AB105*8</f>
        <v>168</v>
      </c>
      <c r="AM105" s="0" t="n">
        <f aca="false">AA105*24</f>
        <v>240</v>
      </c>
      <c r="AO105" s="68" t="n">
        <f aca="false">AI105/AH105</f>
        <v>0.451612903225806</v>
      </c>
      <c r="AP105" s="68" t="n">
        <f aca="false">AL105/AH105</f>
        <v>0.225806451612903</v>
      </c>
      <c r="AQ105" s="68" t="n">
        <f aca="false">1-(AO105+AP105)</f>
        <v>0.32258064516129</v>
      </c>
      <c r="AR105" s="48" t="n">
        <f aca="false">AQ105+AP105</f>
        <v>0.548387096774194</v>
      </c>
    </row>
    <row r="106" customFormat="false" ht="12.75" hidden="false" customHeight="false" outlineLevel="0" collapsed="false">
      <c r="A106" s="52" t="n">
        <v>39387</v>
      </c>
      <c r="B106" s="59" t="n">
        <v>37.2</v>
      </c>
      <c r="C106" s="59" t="n">
        <v>27.1625</v>
      </c>
      <c r="D106" s="60" t="n">
        <v>37.2</v>
      </c>
      <c r="E106" s="60" t="n">
        <v>25.4625</v>
      </c>
      <c r="F106" s="60" t="n">
        <f aca="false">((G106*AD106)-(B106*AE106))*(1/AF106)</f>
        <v>25.464375</v>
      </c>
      <c r="G106" s="54" t="n">
        <f aca="false">((Z106*16*E106)+(B106*W106*16)+(X106*8*C106))/(X106*24)</f>
        <v>31.9841666666667</v>
      </c>
      <c r="H106" s="54" t="n">
        <f aca="false">(F106*AF106+B106*AE106)/AD106</f>
        <v>31.9841666666667</v>
      </c>
      <c r="I106" s="54" t="n">
        <f aca="false">B106*$C$5+F106*$C$6</f>
        <v>32.036325</v>
      </c>
      <c r="K106" s="76" t="n">
        <v>3.75180061772474</v>
      </c>
      <c r="M106" s="71" t="n">
        <v>1.377209886164</v>
      </c>
      <c r="N106" s="71" t="n">
        <v>0.063047416851104</v>
      </c>
      <c r="O106" s="35" t="n">
        <f aca="false">1/((1+N106)^((A106-$B$2)/365))</f>
        <v>2.99014536325278</v>
      </c>
      <c r="Q106" s="54" t="n">
        <f aca="false">M106*B106</f>
        <v>51.2322077653008</v>
      </c>
      <c r="R106" s="54" t="n">
        <f aca="false">C106*M106</f>
        <v>37.4084635329297</v>
      </c>
      <c r="S106" s="54" t="n">
        <f aca="false">M106*G106</f>
        <v>44.0489105340504</v>
      </c>
      <c r="T106" s="54" t="n">
        <f aca="false">F106*M106</f>
        <v>35.0697889949874</v>
      </c>
      <c r="V106" s="56" t="n">
        <f aca="false">Z106+AC106</f>
        <v>5</v>
      </c>
      <c r="W106" s="56" t="n">
        <f aca="false">X106-V106</f>
        <v>25</v>
      </c>
      <c r="X106" s="85" t="n">
        <f aca="false">X94</f>
        <v>30</v>
      </c>
      <c r="Y106" s="77" t="n">
        <v>4</v>
      </c>
      <c r="Z106" s="77" t="n">
        <v>4</v>
      </c>
      <c r="AA106" s="85" t="n">
        <f aca="false">AA94</f>
        <v>8</v>
      </c>
      <c r="AB106" s="85" t="n">
        <f aca="false">AB94</f>
        <v>22</v>
      </c>
      <c r="AC106" s="0" t="n">
        <v>1</v>
      </c>
      <c r="AD106" s="0" t="n">
        <f aca="false">X106*24</f>
        <v>720</v>
      </c>
      <c r="AE106" s="0" t="n">
        <f aca="false">W106*16</f>
        <v>400</v>
      </c>
      <c r="AF106" s="0" t="n">
        <f aca="false">V106*24+W106*8</f>
        <v>320</v>
      </c>
      <c r="AH106" s="0" t="n">
        <f aca="false">X106*24</f>
        <v>720</v>
      </c>
      <c r="AI106" s="0" t="n">
        <f aca="false">AB106*16</f>
        <v>352</v>
      </c>
      <c r="AJ106" s="0" t="n">
        <f aca="false">AB106*13</f>
        <v>286</v>
      </c>
      <c r="AK106" s="0" t="n">
        <f aca="false">AB106*14</f>
        <v>308</v>
      </c>
      <c r="AL106" s="0" t="n">
        <f aca="false">AB106*8</f>
        <v>176</v>
      </c>
      <c r="AM106" s="0" t="n">
        <f aca="false">AA106*24</f>
        <v>192</v>
      </c>
      <c r="AO106" s="68" t="n">
        <f aca="false">AI106/AH106</f>
        <v>0.488888888888889</v>
      </c>
      <c r="AP106" s="68" t="n">
        <f aca="false">AL106/AH106</f>
        <v>0.244444444444444</v>
      </c>
      <c r="AQ106" s="68" t="n">
        <f aca="false">1-(AO106+AP106)</f>
        <v>0.266666666666667</v>
      </c>
      <c r="AR106" s="48" t="n">
        <f aca="false">AQ106+AP106</f>
        <v>0.511111111111111</v>
      </c>
    </row>
    <row r="107" customFormat="false" ht="12.75" hidden="false" customHeight="false" outlineLevel="0" collapsed="false">
      <c r="A107" s="52" t="n">
        <v>39417</v>
      </c>
      <c r="B107" s="59" t="n">
        <v>37.2</v>
      </c>
      <c r="C107" s="59" t="n">
        <v>26.4387096774194</v>
      </c>
      <c r="D107" s="60" t="n">
        <v>37.2</v>
      </c>
      <c r="E107" s="60" t="n">
        <v>25.0875</v>
      </c>
      <c r="F107" s="60" t="n">
        <f aca="false">((G107*AD107)-(B107*AE107))*(1/AF107)</f>
        <v>24.8947674418605</v>
      </c>
      <c r="G107" s="54" t="n">
        <f aca="false">((Z107*16*E107)+(B107*W107*16)+(X107*8*C107))/(X107*24)</f>
        <v>31.5104838709677</v>
      </c>
      <c r="H107" s="54" t="n">
        <f aca="false">(F107*AF107+B107*AE107)/AD107</f>
        <v>31.5104838709677</v>
      </c>
      <c r="I107" s="54" t="n">
        <f aca="false">B107*$C$5+F107*$C$6</f>
        <v>31.7856976744186</v>
      </c>
      <c r="K107" s="76" t="n">
        <v>3.88007872050994</v>
      </c>
      <c r="M107" s="71" t="n">
        <v>1.376380444434</v>
      </c>
      <c r="N107" s="71" t="n">
        <v>0.063060080672194</v>
      </c>
      <c r="O107" s="35" t="n">
        <f aca="false">1/((1+N107)^((A107-$B$2)/365))</f>
        <v>2.97578913369501</v>
      </c>
      <c r="Q107" s="54" t="n">
        <f aca="false">M107*B107</f>
        <v>51.2013525329448</v>
      </c>
      <c r="R107" s="54" t="n">
        <f aca="false">C107*M107</f>
        <v>36.389722976068</v>
      </c>
      <c r="S107" s="54" t="n">
        <f aca="false">M107*G107</f>
        <v>43.370413794653</v>
      </c>
      <c r="T107" s="54" t="n">
        <f aca="false">F107*M107</f>
        <v>34.264671075709</v>
      </c>
      <c r="V107" s="56" t="n">
        <f aca="false">Z107+AC107</f>
        <v>6</v>
      </c>
      <c r="W107" s="56" t="n">
        <f aca="false">X107-V107</f>
        <v>25</v>
      </c>
      <c r="X107" s="85" t="n">
        <f aca="false">X95</f>
        <v>31</v>
      </c>
      <c r="Y107" s="77" t="n">
        <v>5</v>
      </c>
      <c r="Z107" s="77" t="n">
        <v>5</v>
      </c>
      <c r="AA107" s="85" t="n">
        <f aca="false">AA95</f>
        <v>9</v>
      </c>
      <c r="AB107" s="85" t="n">
        <f aca="false">AB95</f>
        <v>22</v>
      </c>
      <c r="AC107" s="0" t="n">
        <v>1</v>
      </c>
      <c r="AD107" s="0" t="n">
        <f aca="false">X107*24</f>
        <v>744</v>
      </c>
      <c r="AE107" s="0" t="n">
        <f aca="false">W107*16</f>
        <v>400</v>
      </c>
      <c r="AF107" s="0" t="n">
        <f aca="false">V107*24+W107*8</f>
        <v>344</v>
      </c>
      <c r="AH107" s="0" t="n">
        <f aca="false">X107*24</f>
        <v>744</v>
      </c>
      <c r="AI107" s="0" t="n">
        <f aca="false">AB107*16</f>
        <v>352</v>
      </c>
      <c r="AJ107" s="0" t="n">
        <f aca="false">AB107*13</f>
        <v>286</v>
      </c>
      <c r="AK107" s="0" t="n">
        <f aca="false">AB107*14</f>
        <v>308</v>
      </c>
      <c r="AL107" s="0" t="n">
        <f aca="false">AB107*8</f>
        <v>176</v>
      </c>
      <c r="AM107" s="0" t="n">
        <f aca="false">AA107*24</f>
        <v>216</v>
      </c>
      <c r="AO107" s="68" t="n">
        <f aca="false">AI107/AH107</f>
        <v>0.473118279569893</v>
      </c>
      <c r="AP107" s="68" t="n">
        <f aca="false">AL107/AH107</f>
        <v>0.236559139784946</v>
      </c>
      <c r="AQ107" s="68" t="n">
        <f aca="false">1-(AO107+AP107)</f>
        <v>0.290322580645161</v>
      </c>
      <c r="AR107" s="48" t="n">
        <f aca="false">AQ107+AP107</f>
        <v>0.526881720430108</v>
      </c>
    </row>
    <row r="108" customFormat="false" ht="12.75" hidden="false" customHeight="false" outlineLevel="0" collapsed="false">
      <c r="A108" s="52" t="n">
        <v>39448</v>
      </c>
      <c r="B108" s="59" t="n">
        <v>32.55</v>
      </c>
      <c r="C108" s="59" t="n">
        <v>26.7346774193548</v>
      </c>
      <c r="D108" s="60" t="n">
        <v>33.05</v>
      </c>
      <c r="E108" s="60" t="n">
        <v>24.7875</v>
      </c>
      <c r="F108" s="60" t="n">
        <f aca="false">((G108*AD108)-(B108*AE108))*(1/AF108)</f>
        <v>25.0506097560976</v>
      </c>
      <c r="G108" s="54" t="n">
        <f aca="false">((Z108*16*E108)+(B108*W108*16)+(X108*8*C108))/(X108*24)</f>
        <v>29.2438172043011</v>
      </c>
      <c r="H108" s="54" t="n">
        <f aca="false">(F108*AF108+B108*AE108)/AD108</f>
        <v>29.2438172043011</v>
      </c>
      <c r="I108" s="54" t="n">
        <f aca="false">B108*$C$5+F108*$C$6</f>
        <v>29.2502682926829</v>
      </c>
      <c r="K108" s="76" t="n">
        <v>4.11169337402189</v>
      </c>
      <c r="M108" s="71" t="n">
        <v>1.370677297547</v>
      </c>
      <c r="N108" s="71" t="n">
        <v>0.06354184009054</v>
      </c>
      <c r="O108" s="35" t="n">
        <f aca="false">1/((1+N108)^((A108-$B$2)/365))</f>
        <v>2.98427483980377</v>
      </c>
      <c r="Q108" s="54" t="n">
        <f aca="false">M108*B108</f>
        <v>44.6155460351549</v>
      </c>
      <c r="R108" s="54" t="n">
        <f aca="false">C108*M108</f>
        <v>36.6446153959521</v>
      </c>
      <c r="S108" s="54" t="n">
        <f aca="false">M108*G108</f>
        <v>40.0838363355499</v>
      </c>
      <c r="T108" s="54" t="n">
        <f aca="false">F108*M108</f>
        <v>34.3363020823923</v>
      </c>
      <c r="V108" s="56" t="n">
        <f aca="false">Z108+AC108</f>
        <v>5</v>
      </c>
      <c r="W108" s="56" t="n">
        <f aca="false">X108-V108</f>
        <v>26</v>
      </c>
      <c r="X108" s="85" t="n">
        <f aca="false">X96</f>
        <v>31</v>
      </c>
      <c r="Y108" s="78" t="n">
        <v>4</v>
      </c>
      <c r="Z108" s="78" t="n">
        <v>4</v>
      </c>
      <c r="AA108" s="85" t="n">
        <f aca="false">AA96</f>
        <v>10</v>
      </c>
      <c r="AB108" s="85" t="n">
        <f aca="false">AB96</f>
        <v>21</v>
      </c>
      <c r="AC108" s="0" t="n">
        <v>1</v>
      </c>
      <c r="AD108" s="0" t="n">
        <f aca="false">X108*24</f>
        <v>744</v>
      </c>
      <c r="AE108" s="0" t="n">
        <f aca="false">W108*16</f>
        <v>416</v>
      </c>
      <c r="AF108" s="0" t="n">
        <f aca="false">V108*24+W108*8</f>
        <v>328</v>
      </c>
      <c r="AH108" s="0" t="n">
        <f aca="false">X108*24</f>
        <v>744</v>
      </c>
      <c r="AI108" s="0" t="n">
        <f aca="false">AB108*16</f>
        <v>336</v>
      </c>
      <c r="AJ108" s="0" t="n">
        <f aca="false">AB108*13</f>
        <v>273</v>
      </c>
      <c r="AK108" s="0" t="n">
        <f aca="false">AB108*14</f>
        <v>294</v>
      </c>
      <c r="AL108" s="0" t="n">
        <f aca="false">AB108*8</f>
        <v>168</v>
      </c>
      <c r="AM108" s="0" t="n">
        <f aca="false">AA108*24</f>
        <v>240</v>
      </c>
      <c r="AO108" s="68" t="n">
        <f aca="false">AI108/AH108</f>
        <v>0.451612903225806</v>
      </c>
      <c r="AP108" s="68" t="n">
        <f aca="false">AL108/AH108</f>
        <v>0.225806451612903</v>
      </c>
      <c r="AQ108" s="68" t="n">
        <f aca="false">1-(AO108+AP108)</f>
        <v>0.32258064516129</v>
      </c>
      <c r="AR108" s="48" t="n">
        <f aca="false">AQ108+AP108</f>
        <v>0.548387096774194</v>
      </c>
    </row>
    <row r="109" customFormat="false" ht="12.75" hidden="false" customHeight="false" outlineLevel="0" collapsed="false">
      <c r="A109" s="52" t="n">
        <v>39479</v>
      </c>
      <c r="B109" s="59" t="n">
        <v>31.05</v>
      </c>
      <c r="C109" s="59" t="n">
        <v>25.7035714285714</v>
      </c>
      <c r="D109" s="60" t="n">
        <v>31.55</v>
      </c>
      <c r="E109" s="60" t="n">
        <v>23.6625</v>
      </c>
      <c r="F109" s="60" t="n">
        <f aca="false">((G109*AD109)-(B109*AE109))*(1/AF109)</f>
        <v>25.25</v>
      </c>
      <c r="G109" s="54" t="n">
        <f aca="false">((Z109*16*E109)+(B109*W109*16)+(X109*8*C109))/(X109*24)</f>
        <v>28.5642857142857</v>
      </c>
      <c r="H109" s="54" t="n">
        <f aca="false">(F109*AF109+B109*AE109)/AD109</f>
        <v>28.5642857142857</v>
      </c>
      <c r="I109" s="54" t="n">
        <f aca="false">B109*$C$5+F109*$C$6</f>
        <v>28.498</v>
      </c>
      <c r="K109" s="76" t="n">
        <v>3.96801942653001</v>
      </c>
      <c r="M109" s="71" t="n">
        <v>1.369791717276</v>
      </c>
      <c r="N109" s="71" t="n">
        <v>0.063550895813404</v>
      </c>
      <c r="O109" s="35" t="n">
        <f aca="false">1/((1+N109)^((A109-$B$2)/365))</f>
        <v>2.96914786412131</v>
      </c>
      <c r="Q109" s="54" t="n">
        <f aca="false">M109*B109</f>
        <v>42.5320328214198</v>
      </c>
      <c r="R109" s="54" t="n">
        <f aca="false">C109*M109</f>
        <v>35.2085392472692</v>
      </c>
      <c r="S109" s="54" t="n">
        <f aca="false">M109*G109</f>
        <v>39.1271219813338</v>
      </c>
      <c r="T109" s="54" t="n">
        <f aca="false">F109*M109</f>
        <v>34.587240861219</v>
      </c>
      <c r="V109" s="56" t="n">
        <f aca="false">Z109+AC109</f>
        <v>4</v>
      </c>
      <c r="W109" s="56" t="n">
        <f aca="false">X109-V109</f>
        <v>24</v>
      </c>
      <c r="X109" s="85" t="n">
        <f aca="false">X97</f>
        <v>28</v>
      </c>
      <c r="Y109" s="77" t="n">
        <v>4</v>
      </c>
      <c r="Z109" s="77" t="n">
        <v>4</v>
      </c>
      <c r="AA109" s="85" t="n">
        <f aca="false">AA97</f>
        <v>8</v>
      </c>
      <c r="AB109" s="85" t="n">
        <f aca="false">AB97</f>
        <v>20</v>
      </c>
      <c r="AD109" s="0" t="n">
        <f aca="false">X109*24</f>
        <v>672</v>
      </c>
      <c r="AE109" s="0" t="n">
        <f aca="false">W109*16</f>
        <v>384</v>
      </c>
      <c r="AF109" s="0" t="n">
        <f aca="false">V109*24+W109*8</f>
        <v>288</v>
      </c>
      <c r="AH109" s="0" t="n">
        <f aca="false">X109*24</f>
        <v>672</v>
      </c>
      <c r="AI109" s="0" t="n">
        <f aca="false">AB109*16</f>
        <v>320</v>
      </c>
      <c r="AJ109" s="0" t="n">
        <f aca="false">AB109*13</f>
        <v>260</v>
      </c>
      <c r="AK109" s="0" t="n">
        <f aca="false">AB109*14</f>
        <v>280</v>
      </c>
      <c r="AL109" s="0" t="n">
        <f aca="false">AB109*8</f>
        <v>160</v>
      </c>
      <c r="AM109" s="0" t="n">
        <f aca="false">AA109*24</f>
        <v>192</v>
      </c>
      <c r="AO109" s="68" t="n">
        <f aca="false">AI109/AH109</f>
        <v>0.476190476190476</v>
      </c>
      <c r="AP109" s="68" t="n">
        <f aca="false">AL109/AH109</f>
        <v>0.238095238095238</v>
      </c>
      <c r="AQ109" s="68" t="n">
        <f aca="false">1-(AO109+AP109)</f>
        <v>0.285714285714286</v>
      </c>
      <c r="AR109" s="48" t="n">
        <f aca="false">AQ109+AP109</f>
        <v>0.523809523809524</v>
      </c>
    </row>
    <row r="110" customFormat="false" ht="12.75" hidden="false" customHeight="false" outlineLevel="0" collapsed="false">
      <c r="A110" s="52" t="n">
        <v>39508</v>
      </c>
      <c r="B110" s="59" t="n">
        <v>29.3</v>
      </c>
      <c r="C110" s="59" t="n">
        <v>22.2306451612903</v>
      </c>
      <c r="D110" s="60" t="n">
        <v>29.8</v>
      </c>
      <c r="E110" s="60" t="n">
        <v>22.35</v>
      </c>
      <c r="F110" s="60" t="n">
        <f aca="false">((G110*AD110)-(B110*AE110))*(1/AF110)</f>
        <v>22.259756097561</v>
      </c>
      <c r="G110" s="54" t="n">
        <f aca="false">((Z110*16*E110)+(B110*W110*16)+(X110*8*C110))/(X110*24)</f>
        <v>26.1962365591398</v>
      </c>
      <c r="H110" s="54" t="n">
        <f aca="false">(F110*AF110+B110*AE110)/AD110</f>
        <v>26.1962365591398</v>
      </c>
      <c r="I110" s="54" t="n">
        <f aca="false">B110*$C$5+F110*$C$6</f>
        <v>26.2022926829268</v>
      </c>
      <c r="K110" s="76" t="n">
        <v>3.78811731504307</v>
      </c>
      <c r="M110" s="71" t="n">
        <v>1.368968626159</v>
      </c>
      <c r="N110" s="71" t="n">
        <v>0.063559367296107</v>
      </c>
      <c r="O110" s="35" t="n">
        <f aca="false">1/((1+N110)^((A110-$B$2)/365))</f>
        <v>2.95506237352681</v>
      </c>
      <c r="Q110" s="54" t="n">
        <f aca="false">M110*B110</f>
        <v>40.1107807464587</v>
      </c>
      <c r="R110" s="54" t="n">
        <f aca="false">C110*M110</f>
        <v>30.4330557650798</v>
      </c>
      <c r="S110" s="54" t="n">
        <f aca="false">M110*G110</f>
        <v>35.8618259729018</v>
      </c>
      <c r="T110" s="54" t="n">
        <f aca="false">F110*M110</f>
        <v>30.4729077235125</v>
      </c>
      <c r="V110" s="56" t="n">
        <f aca="false">Z110+AC110</f>
        <v>5</v>
      </c>
      <c r="W110" s="56" t="n">
        <f aca="false">X110-V110</f>
        <v>26</v>
      </c>
      <c r="X110" s="85" t="n">
        <f aca="false">X98</f>
        <v>31</v>
      </c>
      <c r="Y110" s="77" t="n">
        <v>5</v>
      </c>
      <c r="Z110" s="77" t="n">
        <v>5</v>
      </c>
      <c r="AA110" s="85" t="n">
        <f aca="false">AA98</f>
        <v>8</v>
      </c>
      <c r="AB110" s="85" t="n">
        <f aca="false">AB98</f>
        <v>23</v>
      </c>
      <c r="AD110" s="0" t="n">
        <f aca="false">X110*24</f>
        <v>744</v>
      </c>
      <c r="AE110" s="0" t="n">
        <f aca="false">W110*16</f>
        <v>416</v>
      </c>
      <c r="AF110" s="0" t="n">
        <f aca="false">V110*24+W110*8</f>
        <v>328</v>
      </c>
      <c r="AH110" s="0" t="n">
        <f aca="false">X110*24</f>
        <v>744</v>
      </c>
      <c r="AI110" s="0" t="n">
        <f aca="false">AB110*16</f>
        <v>368</v>
      </c>
      <c r="AJ110" s="0" t="n">
        <f aca="false">AB110*13</f>
        <v>299</v>
      </c>
      <c r="AK110" s="0" t="n">
        <f aca="false">AB110*14</f>
        <v>322</v>
      </c>
      <c r="AL110" s="0" t="n">
        <f aca="false">AB110*8</f>
        <v>184</v>
      </c>
      <c r="AM110" s="0" t="n">
        <f aca="false">AA110*24</f>
        <v>192</v>
      </c>
      <c r="AO110" s="68" t="n">
        <f aca="false">AI110/AH110</f>
        <v>0.494623655913979</v>
      </c>
      <c r="AP110" s="68" t="n">
        <f aca="false">AL110/AH110</f>
        <v>0.247311827956989</v>
      </c>
      <c r="AQ110" s="68" t="n">
        <f aca="false">1-(AO110+AP110)</f>
        <v>0.258064516129032</v>
      </c>
      <c r="AR110" s="48" t="n">
        <f aca="false">AQ110+AP110</f>
        <v>0.505376344086022</v>
      </c>
    </row>
    <row r="111" customFormat="false" ht="12.75" hidden="false" customHeight="false" outlineLevel="0" collapsed="false">
      <c r="A111" s="52" t="n">
        <v>39539</v>
      </c>
      <c r="B111" s="59" t="n">
        <v>27.05</v>
      </c>
      <c r="C111" s="59" t="n">
        <v>17.2542</v>
      </c>
      <c r="D111" s="60" t="n">
        <v>27.55</v>
      </c>
      <c r="E111" s="60" t="n">
        <v>20.6625</v>
      </c>
      <c r="F111" s="60" t="n">
        <f aca="false">((G111*AD111)-(B111*AE111))*(1/AF111)</f>
        <v>17.9717368421053</v>
      </c>
      <c r="G111" s="54" t="n">
        <f aca="false">((Z111*16*E111)+(B111*W111*16)+(X111*8*C111))/(X111*24)</f>
        <v>23.2169555555556</v>
      </c>
      <c r="H111" s="54" t="n">
        <f aca="false">(F111*AF111+B111*AE111)/AD111</f>
        <v>23.2169555555556</v>
      </c>
      <c r="I111" s="54" t="n">
        <f aca="false">B111*$C$5+F111*$C$6</f>
        <v>23.0555642105263</v>
      </c>
      <c r="K111" s="76" t="n">
        <v>3.5559551737688</v>
      </c>
      <c r="M111" s="71" t="n">
        <v>1.368094484309</v>
      </c>
      <c r="N111" s="71" t="n">
        <v>0.063568423019023</v>
      </c>
      <c r="O111" s="35" t="n">
        <f aca="false">1/((1+N111)^((A111-$B$2)/365))</f>
        <v>2.94007523529631</v>
      </c>
      <c r="Q111" s="54" t="n">
        <f aca="false">M111*B111</f>
        <v>37.0069558005585</v>
      </c>
      <c r="R111" s="54" t="n">
        <f aca="false">C111*M111</f>
        <v>23.6053758511644</v>
      </c>
      <c r="S111" s="54" t="n">
        <f aca="false">M111*G111</f>
        <v>31.7629888380028</v>
      </c>
      <c r="T111" s="54" t="n">
        <f aca="false">F111*M111</f>
        <v>24.5870340471371</v>
      </c>
      <c r="V111" s="56" t="n">
        <f aca="false">Z111+AC111</f>
        <v>4</v>
      </c>
      <c r="W111" s="56" t="n">
        <f aca="false">X111-V111</f>
        <v>26</v>
      </c>
      <c r="X111" s="85" t="n">
        <f aca="false">X99</f>
        <v>30</v>
      </c>
      <c r="Y111" s="77" t="n">
        <v>4</v>
      </c>
      <c r="Z111" s="77" t="n">
        <v>4</v>
      </c>
      <c r="AA111" s="85" t="n">
        <f aca="false">AA99</f>
        <v>9</v>
      </c>
      <c r="AB111" s="85" t="n">
        <f aca="false">AB99</f>
        <v>21</v>
      </c>
      <c r="AD111" s="0" t="n">
        <f aca="false">X111*24</f>
        <v>720</v>
      </c>
      <c r="AE111" s="0" t="n">
        <f aca="false">W111*16</f>
        <v>416</v>
      </c>
      <c r="AF111" s="0" t="n">
        <f aca="false">V111*24+W111*8</f>
        <v>304</v>
      </c>
      <c r="AH111" s="0" t="n">
        <f aca="false">X111*24</f>
        <v>720</v>
      </c>
      <c r="AI111" s="0" t="n">
        <f aca="false">AB111*16</f>
        <v>336</v>
      </c>
      <c r="AJ111" s="0" t="n">
        <f aca="false">AB111*13</f>
        <v>273</v>
      </c>
      <c r="AK111" s="0" t="n">
        <f aca="false">AB111*14</f>
        <v>294</v>
      </c>
      <c r="AL111" s="0" t="n">
        <f aca="false">AB111*8</f>
        <v>168</v>
      </c>
      <c r="AM111" s="0" t="n">
        <f aca="false">AA111*24</f>
        <v>216</v>
      </c>
      <c r="AO111" s="68" t="n">
        <f aca="false">AI111/AH111</f>
        <v>0.466666666666667</v>
      </c>
      <c r="AP111" s="68" t="n">
        <f aca="false">AL111/AH111</f>
        <v>0.233333333333333</v>
      </c>
      <c r="AQ111" s="68" t="n">
        <f aca="false">1-(AO111+AP111)</f>
        <v>0.3</v>
      </c>
      <c r="AR111" s="48" t="n">
        <f aca="false">AQ111+AP111</f>
        <v>0.533333333333333</v>
      </c>
    </row>
    <row r="112" customFormat="false" ht="12.75" hidden="false" customHeight="false" outlineLevel="0" collapsed="false">
      <c r="A112" s="52" t="n">
        <v>39569</v>
      </c>
      <c r="B112" s="59" t="n">
        <v>25.05</v>
      </c>
      <c r="C112" s="59" t="n">
        <v>7.69838709677419</v>
      </c>
      <c r="D112" s="60" t="n">
        <v>24.8</v>
      </c>
      <c r="E112" s="60" t="n">
        <v>18.6</v>
      </c>
      <c r="F112" s="60" t="n">
        <f aca="false">((G112*AD112)-(B112*AE112))*(1/AF112)</f>
        <v>9.45</v>
      </c>
      <c r="G112" s="54" t="n">
        <f aca="false">((Z112*16*E112)+(B112*W112*16)+(X112*8*C112))/(X112*24)</f>
        <v>18.1725806451613</v>
      </c>
      <c r="H112" s="54" t="n">
        <f aca="false">(F112*AF112+B112*AE112)/AD112</f>
        <v>18.1725806451613</v>
      </c>
      <c r="I112" s="54" t="n">
        <f aca="false">B112*$C$5+F112*$C$6</f>
        <v>18.186</v>
      </c>
      <c r="K112" s="76" t="n">
        <v>3.52696845823012</v>
      </c>
      <c r="M112" s="71" t="n">
        <v>1.36725415285</v>
      </c>
      <c r="N112" s="71" t="n">
        <v>0.063577186621871</v>
      </c>
      <c r="O112" s="35" t="n">
        <f aca="false">1/((1+N112)^((A112-$B$2)/365))</f>
        <v>2.92563989641053</v>
      </c>
      <c r="Q112" s="54" t="n">
        <f aca="false">M112*B112</f>
        <v>34.2497165288925</v>
      </c>
      <c r="R112" s="54" t="n">
        <f aca="false">C112*M112</f>
        <v>10.5256517283114</v>
      </c>
      <c r="S112" s="54" t="n">
        <f aca="false">M112*G112</f>
        <v>24.8465363550983</v>
      </c>
      <c r="T112" s="54" t="n">
        <f aca="false">F112*M112</f>
        <v>12.9205517444325</v>
      </c>
      <c r="V112" s="56" t="n">
        <f aca="false">Z112+AC112</f>
        <v>5</v>
      </c>
      <c r="W112" s="56" t="n">
        <f aca="false">X112-V112</f>
        <v>26</v>
      </c>
      <c r="X112" s="85" t="n">
        <f aca="false">X100</f>
        <v>31</v>
      </c>
      <c r="Y112" s="77" t="n">
        <v>5</v>
      </c>
      <c r="Z112" s="77" t="n">
        <v>4</v>
      </c>
      <c r="AA112" s="85" t="n">
        <f aca="false">AA100</f>
        <v>9</v>
      </c>
      <c r="AB112" s="85" t="n">
        <f aca="false">AB100</f>
        <v>22</v>
      </c>
      <c r="AC112" s="0" t="n">
        <v>1</v>
      </c>
      <c r="AD112" s="0" t="n">
        <f aca="false">X112*24</f>
        <v>744</v>
      </c>
      <c r="AE112" s="0" t="n">
        <f aca="false">W112*16</f>
        <v>416</v>
      </c>
      <c r="AF112" s="0" t="n">
        <f aca="false">V112*24+W112*8</f>
        <v>328</v>
      </c>
      <c r="AH112" s="0" t="n">
        <f aca="false">X112*24</f>
        <v>744</v>
      </c>
      <c r="AI112" s="0" t="n">
        <f aca="false">AB112*16</f>
        <v>352</v>
      </c>
      <c r="AJ112" s="0" t="n">
        <f aca="false">AB112*13</f>
        <v>286</v>
      </c>
      <c r="AK112" s="0" t="n">
        <f aca="false">AB112*14</f>
        <v>308</v>
      </c>
      <c r="AL112" s="0" t="n">
        <f aca="false">AB112*8</f>
        <v>176</v>
      </c>
      <c r="AM112" s="0" t="n">
        <f aca="false">AA112*24</f>
        <v>216</v>
      </c>
      <c r="AO112" s="68" t="n">
        <f aca="false">AI112/AH112</f>
        <v>0.473118279569893</v>
      </c>
      <c r="AP112" s="68" t="n">
        <f aca="false">AL112/AH112</f>
        <v>0.236559139784946</v>
      </c>
      <c r="AQ112" s="68" t="n">
        <f aca="false">1-(AO112+AP112)</f>
        <v>0.290322580645161</v>
      </c>
      <c r="AR112" s="48" t="n">
        <f aca="false">AQ112+AP112</f>
        <v>0.526881720430108</v>
      </c>
    </row>
    <row r="113" customFormat="false" ht="12.75" hidden="false" customHeight="false" outlineLevel="0" collapsed="false">
      <c r="A113" s="52" t="n">
        <v>39600</v>
      </c>
      <c r="B113" s="59" t="n">
        <v>27.05</v>
      </c>
      <c r="C113" s="59" t="n">
        <v>8.4</v>
      </c>
      <c r="D113" s="60" t="n">
        <v>26.8</v>
      </c>
      <c r="E113" s="60" t="n">
        <v>20.1</v>
      </c>
      <c r="F113" s="60" t="n">
        <f aca="false">((G113*AD113)-(B113*AE113))*(1/AF113)</f>
        <v>11.325</v>
      </c>
      <c r="G113" s="54" t="n">
        <f aca="false">((Z113*16*E113)+(B113*W113*16)+(X113*8*C113))/(X113*24)</f>
        <v>20.0611111111111</v>
      </c>
      <c r="H113" s="54" t="n">
        <f aca="false">(F113*AF113+B113*AE113)/AD113</f>
        <v>20.0611111111111</v>
      </c>
      <c r="I113" s="54" t="n">
        <f aca="false">B113*$C$5+F113*$C$6</f>
        <v>20.131</v>
      </c>
      <c r="K113" s="76" t="n">
        <v>3.63252682911978</v>
      </c>
      <c r="M113" s="71" t="n">
        <v>1.366391599472</v>
      </c>
      <c r="N113" s="71" t="n">
        <v>0.063586242344841</v>
      </c>
      <c r="O113" s="35" t="n">
        <f aca="false">1/((1+N113)^((A113-$B$2)/365))</f>
        <v>2.91079368849576</v>
      </c>
      <c r="Q113" s="54" t="n">
        <f aca="false">M113*B113</f>
        <v>36.9608927657176</v>
      </c>
      <c r="R113" s="54" t="n">
        <f aca="false">C113*M113</f>
        <v>11.4776894355648</v>
      </c>
      <c r="S113" s="54" t="n">
        <f aca="false">M113*G113</f>
        <v>27.4113336982966</v>
      </c>
      <c r="T113" s="54" t="n">
        <f aca="false">F113*M113</f>
        <v>15.4743848640204</v>
      </c>
      <c r="V113" s="56" t="n">
        <f aca="false">Z113+AC113</f>
        <v>5</v>
      </c>
      <c r="W113" s="56" t="n">
        <f aca="false">X113-V113</f>
        <v>25</v>
      </c>
      <c r="X113" s="85" t="n">
        <f aca="false">X101</f>
        <v>30</v>
      </c>
      <c r="Y113" s="77" t="n">
        <v>4</v>
      </c>
      <c r="Z113" s="77" t="n">
        <v>5</v>
      </c>
      <c r="AA113" s="85" t="n">
        <f aca="false">AA101</f>
        <v>8</v>
      </c>
      <c r="AB113" s="85" t="n">
        <f aca="false">AB101</f>
        <v>22</v>
      </c>
      <c r="AD113" s="0" t="n">
        <f aca="false">X113*24</f>
        <v>720</v>
      </c>
      <c r="AE113" s="0" t="n">
        <f aca="false">W113*16</f>
        <v>400</v>
      </c>
      <c r="AF113" s="0" t="n">
        <f aca="false">V113*24+W113*8</f>
        <v>320</v>
      </c>
      <c r="AH113" s="0" t="n">
        <f aca="false">X113*24</f>
        <v>720</v>
      </c>
      <c r="AI113" s="0" t="n">
        <f aca="false">AB113*16</f>
        <v>352</v>
      </c>
      <c r="AJ113" s="0" t="n">
        <f aca="false">AB113*13</f>
        <v>286</v>
      </c>
      <c r="AK113" s="0" t="n">
        <f aca="false">AB113*14</f>
        <v>308</v>
      </c>
      <c r="AL113" s="0" t="n">
        <f aca="false">AB113*8</f>
        <v>176</v>
      </c>
      <c r="AM113" s="0" t="n">
        <f aca="false">AA113*24</f>
        <v>192</v>
      </c>
      <c r="AO113" s="68" t="n">
        <f aca="false">AI113/AH113</f>
        <v>0.488888888888889</v>
      </c>
      <c r="AP113" s="68" t="n">
        <f aca="false">AL113/AH113</f>
        <v>0.244444444444444</v>
      </c>
      <c r="AQ113" s="68" t="n">
        <f aca="false">1-(AO113+AP113)</f>
        <v>0.266666666666667</v>
      </c>
      <c r="AR113" s="48" t="n">
        <f aca="false">AQ113+AP113</f>
        <v>0.511111111111111</v>
      </c>
    </row>
    <row r="114" customFormat="false" ht="12.75" hidden="false" customHeight="false" outlineLevel="0" collapsed="false">
      <c r="A114" s="52" t="n">
        <v>39630</v>
      </c>
      <c r="B114" s="59" t="n">
        <v>59.4675</v>
      </c>
      <c r="C114" s="59" t="n">
        <v>19.0774193548387</v>
      </c>
      <c r="D114" s="60" t="n">
        <v>58.105</v>
      </c>
      <c r="E114" s="60" t="n">
        <v>43.57875</v>
      </c>
      <c r="F114" s="60" t="n">
        <f aca="false">((G114*AD114)-(B114*AE114))*(1/AF114)</f>
        <v>22.9275609756098</v>
      </c>
      <c r="G114" s="54" t="n">
        <f aca="false">((Z114*16*E114)+(B114*W114*16)+(X114*8*C114))/(X114*24)</f>
        <v>43.3584946236559</v>
      </c>
      <c r="H114" s="54" t="n">
        <f aca="false">(F114*AF114+B114*AE114)/AD114</f>
        <v>43.3584946236559</v>
      </c>
      <c r="I114" s="54" t="n">
        <f aca="false">B114*$C$5+F114*$C$6</f>
        <v>43.3899268292683</v>
      </c>
      <c r="K114" s="76" t="n">
        <v>3.61659294218214</v>
      </c>
      <c r="M114" s="71" t="n">
        <v>1.36556246307</v>
      </c>
      <c r="N114" s="71" t="n">
        <v>0.063595005947741</v>
      </c>
      <c r="O114" s="35" t="n">
        <f aca="false">1/((1+N114)^((A114-$B$2)/365))</f>
        <v>2.89649413354363</v>
      </c>
      <c r="Q114" s="54" t="n">
        <f aca="false">M114*B114</f>
        <v>81.2065857726152</v>
      </c>
      <c r="R114" s="54" t="n">
        <f aca="false">C114*M114</f>
        <v>26.0514077632129</v>
      </c>
      <c r="S114" s="54" t="n">
        <f aca="false">M114*G114</f>
        <v>59.2087327132869</v>
      </c>
      <c r="T114" s="54" t="n">
        <f aca="false">F114*M114</f>
        <v>31.3090166380413</v>
      </c>
      <c r="V114" s="56" t="n">
        <f aca="false">Z114+AC114</f>
        <v>5</v>
      </c>
      <c r="W114" s="56" t="n">
        <f aca="false">X114-V114</f>
        <v>26</v>
      </c>
      <c r="X114" s="85" t="n">
        <f aca="false">X102</f>
        <v>31</v>
      </c>
      <c r="Y114" s="77" t="n">
        <v>4</v>
      </c>
      <c r="Z114" s="77" t="n">
        <v>4</v>
      </c>
      <c r="AA114" s="85" t="n">
        <f aca="false">AA102</f>
        <v>10</v>
      </c>
      <c r="AB114" s="85" t="n">
        <f aca="false">AB102</f>
        <v>21</v>
      </c>
      <c r="AC114" s="0" t="n">
        <v>1</v>
      </c>
      <c r="AD114" s="0" t="n">
        <f aca="false">X114*24</f>
        <v>744</v>
      </c>
      <c r="AE114" s="0" t="n">
        <f aca="false">W114*16</f>
        <v>416</v>
      </c>
      <c r="AF114" s="0" t="n">
        <f aca="false">V114*24+W114*8</f>
        <v>328</v>
      </c>
      <c r="AH114" s="0" t="n">
        <f aca="false">X114*24</f>
        <v>744</v>
      </c>
      <c r="AI114" s="0" t="n">
        <f aca="false">AB114*16</f>
        <v>336</v>
      </c>
      <c r="AJ114" s="0" t="n">
        <f aca="false">AB114*13</f>
        <v>273</v>
      </c>
      <c r="AK114" s="0" t="n">
        <f aca="false">AB114*14</f>
        <v>294</v>
      </c>
      <c r="AL114" s="0" t="n">
        <f aca="false">AB114*8</f>
        <v>168</v>
      </c>
      <c r="AM114" s="0" t="n">
        <f aca="false">AA114*24</f>
        <v>240</v>
      </c>
      <c r="AO114" s="68" t="n">
        <f aca="false">AI114/AH114</f>
        <v>0.451612903225806</v>
      </c>
      <c r="AP114" s="68" t="n">
        <f aca="false">AL114/AH114</f>
        <v>0.225806451612903</v>
      </c>
      <c r="AQ114" s="68" t="n">
        <f aca="false">1-(AO114+AP114)</f>
        <v>0.32258064516129</v>
      </c>
      <c r="AR114" s="48" t="n">
        <f aca="false">AQ114+AP114</f>
        <v>0.548387096774194</v>
      </c>
    </row>
    <row r="115" customFormat="false" ht="12.75" hidden="false" customHeight="false" outlineLevel="0" collapsed="false">
      <c r="A115" s="52" t="n">
        <v>39661</v>
      </c>
      <c r="B115" s="59" t="n">
        <v>72.4675</v>
      </c>
      <c r="C115" s="59" t="n">
        <v>21.3516129032258</v>
      </c>
      <c r="D115" s="60" t="n">
        <v>71.105</v>
      </c>
      <c r="E115" s="60" t="n">
        <v>53.32875</v>
      </c>
      <c r="F115" s="60" t="n">
        <f aca="false">((G115*AD115)-(B115*AE115))*(1/AF115)</f>
        <v>29.1509146341463</v>
      </c>
      <c r="G115" s="54" t="n">
        <f aca="false">((Z115*16*E115)+(B115*W115*16)+(X115*8*C115))/(X115*24)</f>
        <v>53.3709408602151</v>
      </c>
      <c r="H115" s="54" t="n">
        <f aca="false">(F115*AF115+B115*AE115)/AD115</f>
        <v>53.3709408602151</v>
      </c>
      <c r="I115" s="54" t="n">
        <f aca="false">B115*$C$5+F115*$C$6</f>
        <v>53.4082024390244</v>
      </c>
      <c r="K115" s="76" t="n">
        <v>3.61364040535301</v>
      </c>
      <c r="M115" s="71" t="n">
        <v>1.364711457812</v>
      </c>
      <c r="N115" s="71" t="n">
        <v>0.063604061670764</v>
      </c>
      <c r="O115" s="35" t="n">
        <f aca="false">1/((1+N115)^((A115-$B$2)/365))</f>
        <v>2.88178761796326</v>
      </c>
      <c r="Q115" s="54" t="n">
        <f aca="false">M115*B115</f>
        <v>98.8972275689911</v>
      </c>
      <c r="R115" s="54" t="n">
        <f aca="false">C115*M115</f>
        <v>29.1387907717988</v>
      </c>
      <c r="S115" s="54" t="n">
        <f aca="false">M115*G115</f>
        <v>72.8359345061421</v>
      </c>
      <c r="T115" s="54" t="n">
        <f aca="false">F115*M115</f>
        <v>39.782587206919</v>
      </c>
      <c r="V115" s="56" t="n">
        <f aca="false">Z115+AC115</f>
        <v>5</v>
      </c>
      <c r="W115" s="56" t="n">
        <f aca="false">X115-V115</f>
        <v>26</v>
      </c>
      <c r="X115" s="85" t="n">
        <f aca="false">X103</f>
        <v>31</v>
      </c>
      <c r="Y115" s="77" t="n">
        <v>5</v>
      </c>
      <c r="Z115" s="77" t="n">
        <v>5</v>
      </c>
      <c r="AA115" s="85" t="n">
        <f aca="false">AA103</f>
        <v>8</v>
      </c>
      <c r="AB115" s="85" t="n">
        <f aca="false">AB103</f>
        <v>23</v>
      </c>
      <c r="AD115" s="0" t="n">
        <f aca="false">X115*24</f>
        <v>744</v>
      </c>
      <c r="AE115" s="0" t="n">
        <f aca="false">W115*16</f>
        <v>416</v>
      </c>
      <c r="AF115" s="0" t="n">
        <f aca="false">V115*24+W115*8</f>
        <v>328</v>
      </c>
      <c r="AH115" s="0" t="n">
        <f aca="false">X115*24</f>
        <v>744</v>
      </c>
      <c r="AI115" s="0" t="n">
        <f aca="false">AB115*16</f>
        <v>368</v>
      </c>
      <c r="AJ115" s="0" t="n">
        <f aca="false">AB115*13</f>
        <v>299</v>
      </c>
      <c r="AK115" s="0" t="n">
        <f aca="false">AB115*14</f>
        <v>322</v>
      </c>
      <c r="AL115" s="0" t="n">
        <f aca="false">AB115*8</f>
        <v>184</v>
      </c>
      <c r="AM115" s="0" t="n">
        <f aca="false">AA115*24</f>
        <v>192</v>
      </c>
      <c r="AO115" s="68" t="n">
        <f aca="false">AI115/AH115</f>
        <v>0.494623655913979</v>
      </c>
      <c r="AP115" s="68" t="n">
        <f aca="false">AL115/AH115</f>
        <v>0.247311827956989</v>
      </c>
      <c r="AQ115" s="68" t="n">
        <f aca="false">1-(AO115+AP115)</f>
        <v>0.258064516129032</v>
      </c>
      <c r="AR115" s="48" t="n">
        <f aca="false">AQ115+AP115</f>
        <v>0.505376344086022</v>
      </c>
    </row>
    <row r="116" customFormat="false" ht="12.75" hidden="false" customHeight="false" outlineLevel="0" collapsed="false">
      <c r="A116" s="52" t="n">
        <v>39692</v>
      </c>
      <c r="B116" s="59" t="n">
        <v>64.8</v>
      </c>
      <c r="C116" s="59" t="n">
        <v>19.975</v>
      </c>
      <c r="D116" s="60" t="n">
        <v>64.05</v>
      </c>
      <c r="E116" s="60" t="n">
        <v>48.0375</v>
      </c>
      <c r="F116" s="60" t="n">
        <f aca="false">((G116*AD116)-(B116*AE116))*(1/AF116)</f>
        <v>24.58875</v>
      </c>
      <c r="G116" s="54" t="n">
        <f aca="false">((Z116*16*E116)+(B116*W116*16)+(X116*8*C116))/(X116*24)</f>
        <v>46.9283333333333</v>
      </c>
      <c r="H116" s="54" t="n">
        <f aca="false">(F116*AF116+B116*AE116)/AD116</f>
        <v>46.9283333333333</v>
      </c>
      <c r="I116" s="54" t="n">
        <f aca="false">B116*$C$5+F116*$C$6</f>
        <v>47.10705</v>
      </c>
      <c r="K116" s="76" t="n">
        <v>3.59766328533746</v>
      </c>
      <c r="M116" s="71" t="n">
        <v>1.363866305992</v>
      </c>
      <c r="N116" s="71" t="n">
        <v>0.063613117393815</v>
      </c>
      <c r="O116" s="35" t="n">
        <f aca="false">1/((1+N116)^((A116-$B$2)/365))</f>
        <v>2.86715162234145</v>
      </c>
      <c r="Q116" s="54" t="n">
        <f aca="false">M116*B116</f>
        <v>88.3785366282816</v>
      </c>
      <c r="R116" s="54" t="n">
        <f aca="false">C116*M116</f>
        <v>27.2432294621902</v>
      </c>
      <c r="S116" s="54" t="n">
        <f aca="false">M116*G116</f>
        <v>64.0039726296946</v>
      </c>
      <c r="T116" s="54" t="n">
        <f aca="false">F116*M116</f>
        <v>33.5357676314608</v>
      </c>
      <c r="V116" s="56" t="n">
        <f aca="false">Z116+AC116</f>
        <v>5</v>
      </c>
      <c r="W116" s="56" t="n">
        <f aca="false">X116-V116</f>
        <v>25</v>
      </c>
      <c r="X116" s="85" t="n">
        <f aca="false">X104</f>
        <v>30</v>
      </c>
      <c r="Y116" s="77" t="n">
        <v>4</v>
      </c>
      <c r="Z116" s="77" t="n">
        <v>4</v>
      </c>
      <c r="AA116" s="85" t="n">
        <f aca="false">AA104</f>
        <v>8</v>
      </c>
      <c r="AB116" s="85" t="n">
        <f aca="false">AB104</f>
        <v>22</v>
      </c>
      <c r="AC116" s="0" t="n">
        <v>1</v>
      </c>
      <c r="AD116" s="0" t="n">
        <f aca="false">X116*24</f>
        <v>720</v>
      </c>
      <c r="AE116" s="0" t="n">
        <f aca="false">W116*16</f>
        <v>400</v>
      </c>
      <c r="AF116" s="0" t="n">
        <f aca="false">V116*24+W116*8</f>
        <v>320</v>
      </c>
      <c r="AH116" s="0" t="n">
        <f aca="false">X116*24</f>
        <v>720</v>
      </c>
      <c r="AI116" s="0" t="n">
        <f aca="false">AB116*16</f>
        <v>352</v>
      </c>
      <c r="AJ116" s="0" t="n">
        <f aca="false">AB116*13</f>
        <v>286</v>
      </c>
      <c r="AK116" s="0" t="n">
        <f aca="false">AB116*14</f>
        <v>308</v>
      </c>
      <c r="AL116" s="0" t="n">
        <f aca="false">AB116*8</f>
        <v>176</v>
      </c>
      <c r="AM116" s="0" t="n">
        <f aca="false">AA116*24</f>
        <v>192</v>
      </c>
      <c r="AO116" s="68" t="n">
        <f aca="false">AI116/AH116</f>
        <v>0.488888888888889</v>
      </c>
      <c r="AP116" s="68" t="n">
        <f aca="false">AL116/AH116</f>
        <v>0.244444444444444</v>
      </c>
      <c r="AQ116" s="68" t="n">
        <f aca="false">1-(AO116+AP116)</f>
        <v>0.266666666666667</v>
      </c>
      <c r="AR116" s="48" t="n">
        <f aca="false">AQ116+AP116</f>
        <v>0.511111111111111</v>
      </c>
    </row>
    <row r="117" customFormat="false" ht="12.75" hidden="false" customHeight="false" outlineLevel="0" collapsed="false">
      <c r="A117" s="52" t="n">
        <v>39722</v>
      </c>
      <c r="B117" s="59" t="n">
        <v>38.55</v>
      </c>
      <c r="C117" s="59" t="n">
        <v>26.6983870967742</v>
      </c>
      <c r="D117" s="60" t="n">
        <v>37.05</v>
      </c>
      <c r="E117" s="60" t="n">
        <v>27.7875</v>
      </c>
      <c r="F117" s="60" t="n">
        <f aca="false">((G117*AD117)-(B117*AE117))*(1/AF117)</f>
        <v>26.9217948717949</v>
      </c>
      <c r="G117" s="54" t="n">
        <f aca="false">((Z117*16*E117)+(B117*W117*16)+(X117*8*C117))/(X117*24)</f>
        <v>33.6736559139785</v>
      </c>
      <c r="H117" s="54" t="n">
        <f aca="false">(F117*AF117+B117*AE117)/AD117</f>
        <v>33.6736559139785</v>
      </c>
      <c r="I117" s="54" t="n">
        <f aca="false">B117*$C$5+F117*$C$6</f>
        <v>33.4335897435897</v>
      </c>
      <c r="K117" s="76" t="n">
        <v>3.61437338951105</v>
      </c>
      <c r="M117" s="71" t="n">
        <v>1.36305398078</v>
      </c>
      <c r="N117" s="71" t="n">
        <v>0.063621880996793</v>
      </c>
      <c r="O117" s="35" t="n">
        <f aca="false">1/((1+N117)^((A117-$B$2)/365))</f>
        <v>2.85305460250588</v>
      </c>
      <c r="Q117" s="54" t="n">
        <f aca="false">M117*B117</f>
        <v>52.545730959069</v>
      </c>
      <c r="R117" s="54" t="n">
        <f aca="false">C117*M117</f>
        <v>36.3913428126635</v>
      </c>
      <c r="S117" s="54" t="n">
        <f aca="false">M117*G117</f>
        <v>45.8990107409644</v>
      </c>
      <c r="T117" s="54" t="n">
        <f aca="false">F117*M117</f>
        <v>36.6958596697426</v>
      </c>
      <c r="V117" s="56" t="n">
        <f aca="false">Z117+AC117</f>
        <v>4</v>
      </c>
      <c r="W117" s="56" t="n">
        <f aca="false">X117-V117</f>
        <v>27</v>
      </c>
      <c r="X117" s="85" t="n">
        <f aca="false">X105</f>
        <v>31</v>
      </c>
      <c r="Y117" s="77" t="n">
        <v>4</v>
      </c>
      <c r="Z117" s="77" t="n">
        <v>4</v>
      </c>
      <c r="AA117" s="85" t="n">
        <f aca="false">AA105</f>
        <v>10</v>
      </c>
      <c r="AB117" s="85" t="n">
        <f aca="false">AB105</f>
        <v>21</v>
      </c>
      <c r="AD117" s="0" t="n">
        <f aca="false">X117*24</f>
        <v>744</v>
      </c>
      <c r="AE117" s="0" t="n">
        <f aca="false">W117*16</f>
        <v>432</v>
      </c>
      <c r="AF117" s="0" t="n">
        <f aca="false">V117*24+W117*8</f>
        <v>312</v>
      </c>
      <c r="AH117" s="0" t="n">
        <f aca="false">X117*24</f>
        <v>744</v>
      </c>
      <c r="AI117" s="0" t="n">
        <f aca="false">AB117*16</f>
        <v>336</v>
      </c>
      <c r="AJ117" s="0" t="n">
        <f aca="false">AB117*13</f>
        <v>273</v>
      </c>
      <c r="AK117" s="0" t="n">
        <f aca="false">AB117*14</f>
        <v>294</v>
      </c>
      <c r="AL117" s="0" t="n">
        <f aca="false">AB117*8</f>
        <v>168</v>
      </c>
      <c r="AM117" s="0" t="n">
        <f aca="false">AA117*24</f>
        <v>240</v>
      </c>
      <c r="AO117" s="68" t="n">
        <f aca="false">AI117/AH117</f>
        <v>0.451612903225806</v>
      </c>
      <c r="AP117" s="68" t="n">
        <f aca="false">AL117/AH117</f>
        <v>0.225806451612903</v>
      </c>
      <c r="AQ117" s="68" t="n">
        <f aca="false">1-(AO117+AP117)</f>
        <v>0.32258064516129</v>
      </c>
      <c r="AR117" s="48" t="n">
        <f aca="false">AQ117+AP117</f>
        <v>0.548387096774194</v>
      </c>
    </row>
    <row r="118" customFormat="false" ht="12.75" hidden="false" customHeight="false" outlineLevel="0" collapsed="false">
      <c r="A118" s="52" t="n">
        <v>39753</v>
      </c>
      <c r="B118" s="59" t="n">
        <v>37.3</v>
      </c>
      <c r="C118" s="59" t="n">
        <v>27.2125</v>
      </c>
      <c r="D118" s="60" t="n">
        <v>34.05</v>
      </c>
      <c r="E118" s="60" t="n">
        <v>25.5375</v>
      </c>
      <c r="F118" s="60" t="n">
        <f aca="false">((G118*AD118)-(B118*AE118))*(1/AF118)</f>
        <v>25.5178571428571</v>
      </c>
      <c r="G118" s="54" t="n">
        <f aca="false">((Z118*16*E118)+(B118*W118*16)+(X118*8*C118))/(X118*24)</f>
        <v>31.8016666666667</v>
      </c>
      <c r="H118" s="54" t="n">
        <f aca="false">(F118*AF118+B118*AE118)/AD118</f>
        <v>31.8016666666667</v>
      </c>
      <c r="I118" s="54" t="n">
        <f aca="false">B118*$C$5+F118*$C$6</f>
        <v>32.1158571428571</v>
      </c>
      <c r="K118" s="76" t="n">
        <v>3.74419152498172</v>
      </c>
      <c r="M118" s="71" t="n">
        <v>1.362220317305</v>
      </c>
      <c r="N118" s="71" t="n">
        <v>0.063630936719897</v>
      </c>
      <c r="O118" s="35" t="n">
        <f aca="false">1/((1+N118)^((A118-$B$2)/365))</f>
        <v>2.83855645097402</v>
      </c>
      <c r="Q118" s="54" t="n">
        <f aca="false">M118*B118</f>
        <v>50.8108178354765</v>
      </c>
      <c r="R118" s="54" t="n">
        <f aca="false">C118*M118</f>
        <v>37.0694203846623</v>
      </c>
      <c r="S118" s="54" t="n">
        <f aca="false">M118*G118</f>
        <v>43.3208764574945</v>
      </c>
      <c r="T118" s="54" t="n">
        <f aca="false">F118*M118</f>
        <v>34.7609434540865</v>
      </c>
      <c r="V118" s="56" t="n">
        <f aca="false">Z118+AC118</f>
        <v>6</v>
      </c>
      <c r="W118" s="56" t="n">
        <f aca="false">X118-V118</f>
        <v>24</v>
      </c>
      <c r="X118" s="85" t="n">
        <f aca="false">X106</f>
        <v>30</v>
      </c>
      <c r="Y118" s="77" t="n">
        <v>5</v>
      </c>
      <c r="Z118" s="77" t="n">
        <v>5</v>
      </c>
      <c r="AA118" s="85" t="n">
        <f aca="false">AA106</f>
        <v>8</v>
      </c>
      <c r="AB118" s="85" t="n">
        <f aca="false">AB106</f>
        <v>22</v>
      </c>
      <c r="AC118" s="0" t="n">
        <v>1</v>
      </c>
      <c r="AD118" s="0" t="n">
        <f aca="false">X118*24</f>
        <v>720</v>
      </c>
      <c r="AE118" s="0" t="n">
        <f aca="false">W118*16</f>
        <v>384</v>
      </c>
      <c r="AF118" s="0" t="n">
        <f aca="false">V118*24+W118*8</f>
        <v>336</v>
      </c>
      <c r="AH118" s="0" t="n">
        <f aca="false">X118*24</f>
        <v>720</v>
      </c>
      <c r="AI118" s="0" t="n">
        <f aca="false">AB118*16</f>
        <v>352</v>
      </c>
      <c r="AJ118" s="0" t="n">
        <f aca="false">AB118*13</f>
        <v>286</v>
      </c>
      <c r="AK118" s="0" t="n">
        <f aca="false">AB118*14</f>
        <v>308</v>
      </c>
      <c r="AL118" s="0" t="n">
        <f aca="false">AB118*8</f>
        <v>176</v>
      </c>
      <c r="AM118" s="0" t="n">
        <f aca="false">AA118*24</f>
        <v>192</v>
      </c>
      <c r="AO118" s="68" t="n">
        <f aca="false">AI118/AH118</f>
        <v>0.488888888888889</v>
      </c>
      <c r="AP118" s="68" t="n">
        <f aca="false">AL118/AH118</f>
        <v>0.244444444444444</v>
      </c>
      <c r="AQ118" s="68" t="n">
        <f aca="false">1-(AO118+AP118)</f>
        <v>0.266666666666667</v>
      </c>
      <c r="AR118" s="48" t="n">
        <f aca="false">AQ118+AP118</f>
        <v>0.511111111111111</v>
      </c>
    </row>
    <row r="119" customFormat="false" ht="12.75" hidden="false" customHeight="false" outlineLevel="0" collapsed="false">
      <c r="A119" s="52" t="n">
        <v>39783</v>
      </c>
      <c r="B119" s="59" t="n">
        <v>37.3</v>
      </c>
      <c r="C119" s="59" t="n">
        <v>26.4887096774194</v>
      </c>
      <c r="D119" s="60" t="n">
        <v>33.55</v>
      </c>
      <c r="E119" s="60" t="n">
        <v>25.1625</v>
      </c>
      <c r="F119" s="60" t="n">
        <f aca="false">((G119*AD119)-(B119*AE119))*(1/AF119)</f>
        <v>24.9378048780488</v>
      </c>
      <c r="G119" s="54" t="n">
        <f aca="false">((Z119*16*E119)+(B119*W119*16)+(X119*8*C119))/(X119*24)</f>
        <v>31.85</v>
      </c>
      <c r="H119" s="54" t="n">
        <f aca="false">(F119*AF119+B119*AE119)/AD119</f>
        <v>31.85</v>
      </c>
      <c r="I119" s="54" t="n">
        <f aca="false">B119*$C$5+F119*$C$6</f>
        <v>31.8606341463415</v>
      </c>
      <c r="K119" s="76" t="n">
        <v>3.86740443844345</v>
      </c>
      <c r="M119" s="71" t="n">
        <v>1.361419090945</v>
      </c>
      <c r="N119" s="71" t="n">
        <v>0.063639700322927</v>
      </c>
      <c r="O119" s="35" t="n">
        <f aca="false">1/((1+N119)^((A119-$B$2)/365))</f>
        <v>2.8245922404841</v>
      </c>
      <c r="Q119" s="54" t="n">
        <f aca="false">M119*B119</f>
        <v>50.7809320922485</v>
      </c>
      <c r="R119" s="54" t="n">
        <f aca="false">C119*M119</f>
        <v>36.0622350493383</v>
      </c>
      <c r="S119" s="54" t="n">
        <f aca="false">M119*G119</f>
        <v>43.3611980465983</v>
      </c>
      <c r="T119" s="54" t="n">
        <f aca="false">F119*M119</f>
        <v>33.950803647237</v>
      </c>
      <c r="V119" s="56" t="n">
        <f aca="false">Z119+AC119</f>
        <v>5</v>
      </c>
      <c r="W119" s="56" t="n">
        <f aca="false">X119-V119</f>
        <v>26</v>
      </c>
      <c r="X119" s="85" t="n">
        <f aca="false">X107</f>
        <v>31</v>
      </c>
      <c r="Y119" s="77" t="n">
        <v>4</v>
      </c>
      <c r="Z119" s="77" t="n">
        <v>4</v>
      </c>
      <c r="AA119" s="85" t="n">
        <f aca="false">AA107</f>
        <v>9</v>
      </c>
      <c r="AB119" s="85" t="n">
        <f aca="false">AB107</f>
        <v>22</v>
      </c>
      <c r="AC119" s="0" t="n">
        <v>1</v>
      </c>
      <c r="AD119" s="0" t="n">
        <f aca="false">X119*24</f>
        <v>744</v>
      </c>
      <c r="AE119" s="0" t="n">
        <f aca="false">W119*16</f>
        <v>416</v>
      </c>
      <c r="AF119" s="0" t="n">
        <f aca="false">V119*24+W119*8</f>
        <v>328</v>
      </c>
      <c r="AH119" s="0" t="n">
        <f aca="false">X119*24</f>
        <v>744</v>
      </c>
      <c r="AI119" s="0" t="n">
        <f aca="false">AB119*16</f>
        <v>352</v>
      </c>
      <c r="AJ119" s="0" t="n">
        <f aca="false">AB119*13</f>
        <v>286</v>
      </c>
      <c r="AK119" s="0" t="n">
        <f aca="false">AB119*14</f>
        <v>308</v>
      </c>
      <c r="AL119" s="0" t="n">
        <f aca="false">AB119*8</f>
        <v>176</v>
      </c>
      <c r="AM119" s="0" t="n">
        <f aca="false">AA119*24</f>
        <v>216</v>
      </c>
      <c r="AO119" s="68" t="n">
        <f aca="false">AI119/AH119</f>
        <v>0.473118279569893</v>
      </c>
      <c r="AP119" s="68" t="n">
        <f aca="false">AL119/AH119</f>
        <v>0.236559139784946</v>
      </c>
      <c r="AQ119" s="68" t="n">
        <f aca="false">1-(AO119+AP119)</f>
        <v>0.290322580645161</v>
      </c>
      <c r="AR119" s="48" t="n">
        <f aca="false">AQ119+AP119</f>
        <v>0.526881720430108</v>
      </c>
    </row>
    <row r="120" customFormat="false" ht="12.75" hidden="false" customHeight="false" outlineLevel="0" collapsed="false">
      <c r="A120" s="52" t="n">
        <v>39814</v>
      </c>
      <c r="B120" s="59" t="n">
        <v>32.65</v>
      </c>
      <c r="C120" s="59" t="n">
        <v>26.7846774193548</v>
      </c>
      <c r="D120" s="60" t="n">
        <v>33.15</v>
      </c>
      <c r="E120" s="60" t="n">
        <v>24.8625</v>
      </c>
      <c r="F120" s="60" t="n">
        <f aca="false">((G120*AD120)-(B120*AE120))*(1/AF120)</f>
        <v>25.1030487804878</v>
      </c>
      <c r="G120" s="54" t="n">
        <f aca="false">((Z120*16*E120)+(B120*W120*16)+(X120*8*C120))/(X120*24)</f>
        <v>29.3228494623656</v>
      </c>
      <c r="H120" s="54" t="n">
        <f aca="false">(F120*AF120+B120*AE120)/AD120</f>
        <v>29.3228494623656</v>
      </c>
      <c r="I120" s="54" t="n">
        <f aca="false">B120*$C$5+F120*$C$6</f>
        <v>29.3293414634146</v>
      </c>
      <c r="K120" s="76" t="n">
        <v>4.11376615427628</v>
      </c>
      <c r="M120" s="71" t="n">
        <v>1.360596876897</v>
      </c>
      <c r="N120" s="71" t="n">
        <v>0.063648756046084</v>
      </c>
      <c r="O120" s="35" t="n">
        <f aca="false">1/((1+N120)^((A120-$B$2)/365))</f>
        <v>2.81023071998511</v>
      </c>
      <c r="Q120" s="54" t="n">
        <f aca="false">M120*B120</f>
        <v>44.4234880306871</v>
      </c>
      <c r="R120" s="54" t="n">
        <f aca="false">C120*M120</f>
        <v>36.4431484454678</v>
      </c>
      <c r="S120" s="54" t="n">
        <f aca="false">M120*G120</f>
        <v>39.8965774002155</v>
      </c>
      <c r="T120" s="54" t="n">
        <f aca="false">F120*M120</f>
        <v>34.1551297713248</v>
      </c>
      <c r="V120" s="56" t="n">
        <f aca="false">Z120+AC120</f>
        <v>5</v>
      </c>
      <c r="W120" s="56" t="n">
        <f aca="false">X120-V120</f>
        <v>26</v>
      </c>
      <c r="X120" s="85" t="n">
        <f aca="false">X108</f>
        <v>31</v>
      </c>
      <c r="Y120" s="78" t="n">
        <v>5</v>
      </c>
      <c r="Z120" s="78" t="n">
        <v>4</v>
      </c>
      <c r="AA120" s="85" t="n">
        <f aca="false">AA108</f>
        <v>10</v>
      </c>
      <c r="AB120" s="85" t="n">
        <f aca="false">AB108</f>
        <v>21</v>
      </c>
      <c r="AC120" s="0" t="n">
        <v>1</v>
      </c>
      <c r="AD120" s="0" t="n">
        <f aca="false">X120*24</f>
        <v>744</v>
      </c>
      <c r="AE120" s="0" t="n">
        <f aca="false">W120*16</f>
        <v>416</v>
      </c>
      <c r="AF120" s="0" t="n">
        <f aca="false">V120*24+W120*8</f>
        <v>328</v>
      </c>
      <c r="AH120" s="0" t="n">
        <f aca="false">X120*24</f>
        <v>744</v>
      </c>
      <c r="AI120" s="0" t="n">
        <f aca="false">AB120*16</f>
        <v>336</v>
      </c>
      <c r="AJ120" s="0" t="n">
        <f aca="false">AB120*13</f>
        <v>273</v>
      </c>
      <c r="AK120" s="0" t="n">
        <f aca="false">AB120*14</f>
        <v>294</v>
      </c>
      <c r="AL120" s="0" t="n">
        <f aca="false">AB120*8</f>
        <v>168</v>
      </c>
      <c r="AM120" s="0" t="n">
        <f aca="false">AA120*24</f>
        <v>240</v>
      </c>
      <c r="AO120" s="68" t="n">
        <f aca="false">AI120/AH120</f>
        <v>0.451612903225806</v>
      </c>
      <c r="AP120" s="68" t="n">
        <f aca="false">AL120/AH120</f>
        <v>0.225806451612903</v>
      </c>
      <c r="AQ120" s="68" t="n">
        <f aca="false">1-(AO120+AP120)</f>
        <v>0.32258064516129</v>
      </c>
      <c r="AR120" s="48" t="n">
        <f aca="false">AQ120+AP120</f>
        <v>0.548387096774194</v>
      </c>
    </row>
    <row r="121" customFormat="false" ht="12.75" hidden="false" customHeight="false" outlineLevel="0" collapsed="false">
      <c r="A121" s="52" t="n">
        <v>39845</v>
      </c>
      <c r="B121" s="59" t="n">
        <v>31.15</v>
      </c>
      <c r="C121" s="59" t="n">
        <v>25.7535714285714</v>
      </c>
      <c r="D121" s="60" t="n">
        <v>31.65</v>
      </c>
      <c r="E121" s="60" t="n">
        <v>23.7375</v>
      </c>
      <c r="F121" s="60" t="n">
        <f aca="false">((G121*AD121)-(B121*AE121))*(1/AF121)</f>
        <v>25.3055555555556</v>
      </c>
      <c r="G121" s="54" t="n">
        <f aca="false">((Z121*16*E121)+(B121*W121*16)+(X121*8*C121))/(X121*24)</f>
        <v>28.6452380952381</v>
      </c>
      <c r="H121" s="54" t="n">
        <f aca="false">(F121*AF121+B121*AE121)/AD121</f>
        <v>28.6452380952381</v>
      </c>
      <c r="I121" s="54" t="n">
        <f aca="false">B121*$C$5+F121*$C$6</f>
        <v>28.5784444444444</v>
      </c>
      <c r="K121" s="76" t="n">
        <v>3.97673557580282</v>
      </c>
      <c r="M121" s="71" t="n">
        <v>1.359780466674</v>
      </c>
      <c r="N121" s="71" t="n">
        <v>0.063657811769269</v>
      </c>
      <c r="O121" s="35" t="n">
        <f aca="false">1/((1+N121)^((A121-$B$2)/365))</f>
        <v>2.7959381731953</v>
      </c>
      <c r="Q121" s="54" t="n">
        <f aca="false">M121*B121</f>
        <v>42.3571615368951</v>
      </c>
      <c r="R121" s="54" t="n">
        <f aca="false">C121*M121</f>
        <v>35.0192033756651</v>
      </c>
      <c r="S121" s="54" t="n">
        <f aca="false">M121*G121</f>
        <v>38.9512352251307</v>
      </c>
      <c r="T121" s="54" t="n">
        <f aca="false">F121*M121</f>
        <v>34.4100001427782</v>
      </c>
      <c r="V121" s="56" t="n">
        <f aca="false">Z121+AC121</f>
        <v>4</v>
      </c>
      <c r="W121" s="56" t="n">
        <f aca="false">X121-V121</f>
        <v>24</v>
      </c>
      <c r="X121" s="85" t="n">
        <f aca="false">X109</f>
        <v>28</v>
      </c>
      <c r="Y121" s="77" t="n">
        <v>4</v>
      </c>
      <c r="Z121" s="77" t="n">
        <v>4</v>
      </c>
      <c r="AA121" s="85" t="n">
        <f aca="false">AA109</f>
        <v>8</v>
      </c>
      <c r="AB121" s="85" t="n">
        <f aca="false">AB109</f>
        <v>20</v>
      </c>
      <c r="AD121" s="0" t="n">
        <f aca="false">X121*24</f>
        <v>672</v>
      </c>
      <c r="AE121" s="0" t="n">
        <f aca="false">W121*16</f>
        <v>384</v>
      </c>
      <c r="AF121" s="0" t="n">
        <f aca="false">V121*24+W121*8</f>
        <v>288</v>
      </c>
      <c r="AH121" s="0" t="n">
        <f aca="false">X121*24</f>
        <v>672</v>
      </c>
      <c r="AI121" s="0" t="n">
        <f aca="false">AB121*16</f>
        <v>320</v>
      </c>
      <c r="AJ121" s="0" t="n">
        <f aca="false">AB121*13</f>
        <v>260</v>
      </c>
      <c r="AK121" s="0" t="n">
        <f aca="false">AB121*14</f>
        <v>280</v>
      </c>
      <c r="AL121" s="0" t="n">
        <f aca="false">AB121*8</f>
        <v>160</v>
      </c>
      <c r="AM121" s="0" t="n">
        <f aca="false">AA121*24</f>
        <v>192</v>
      </c>
      <c r="AO121" s="68" t="n">
        <f aca="false">AI121/AH121</f>
        <v>0.476190476190476</v>
      </c>
      <c r="AP121" s="68" t="n">
        <f aca="false">AL121/AH121</f>
        <v>0.238095238095238</v>
      </c>
      <c r="AQ121" s="68" t="n">
        <f aca="false">1-(AO121+AP121)</f>
        <v>0.285714285714286</v>
      </c>
      <c r="AR121" s="48" t="n">
        <f aca="false">AQ121+AP121</f>
        <v>0.523809523809524</v>
      </c>
    </row>
    <row r="122" customFormat="false" ht="12.75" hidden="false" customHeight="false" outlineLevel="0" collapsed="false">
      <c r="A122" s="52" t="n">
        <v>39873</v>
      </c>
      <c r="B122" s="59" t="n">
        <v>29.4</v>
      </c>
      <c r="C122" s="59" t="n">
        <v>22.2806451612903</v>
      </c>
      <c r="D122" s="60" t="n">
        <v>29.9</v>
      </c>
      <c r="E122" s="60" t="n">
        <v>22.425</v>
      </c>
      <c r="F122" s="60" t="n">
        <f aca="false">((G122*AD122)-(B122*AE122))*(1/AF122)</f>
        <v>22.3158536585366</v>
      </c>
      <c r="G122" s="54" t="n">
        <f aca="false">((Z122*16*E122)+(B122*W122*16)+(X122*8*C122))/(X122*24)</f>
        <v>26.2768817204301</v>
      </c>
      <c r="H122" s="54" t="n">
        <f aca="false">(F122*AF122+B122*AE122)/AD122</f>
        <v>26.2768817204301</v>
      </c>
      <c r="I122" s="54" t="n">
        <f aca="false">B122*$C$5+F122*$C$6</f>
        <v>26.2829756097561</v>
      </c>
      <c r="K122" s="76" t="n">
        <v>3.80260455495081</v>
      </c>
      <c r="M122" s="71" t="n">
        <v>1.359048044225</v>
      </c>
      <c r="N122" s="71" t="n">
        <v>0.06366599113217</v>
      </c>
      <c r="O122" s="35" t="n">
        <f aca="false">1/((1+N122)^((A122-$B$2)/365))</f>
        <v>2.78308780302543</v>
      </c>
      <c r="Q122" s="54" t="n">
        <f aca="false">M122*B122</f>
        <v>39.956012500215</v>
      </c>
      <c r="R122" s="54" t="n">
        <f aca="false">C122*M122</f>
        <v>30.2804672305228</v>
      </c>
      <c r="S122" s="54" t="n">
        <f aca="false">M122*G122</f>
        <v>35.7115447104822</v>
      </c>
      <c r="T122" s="54" t="n">
        <f aca="false">F122*M122</f>
        <v>30.3283172698455</v>
      </c>
      <c r="V122" s="56" t="n">
        <f aca="false">Z122+AC122</f>
        <v>5</v>
      </c>
      <c r="W122" s="56" t="n">
        <f aca="false">X122-V122</f>
        <v>26</v>
      </c>
      <c r="X122" s="85" t="n">
        <f aca="false">X110</f>
        <v>31</v>
      </c>
      <c r="Y122" s="77" t="n">
        <v>4</v>
      </c>
      <c r="Z122" s="77" t="n">
        <v>5</v>
      </c>
      <c r="AA122" s="85" t="n">
        <f aca="false">AA110</f>
        <v>8</v>
      </c>
      <c r="AB122" s="85" t="n">
        <f aca="false">AB110</f>
        <v>23</v>
      </c>
      <c r="AD122" s="0" t="n">
        <f aca="false">X122*24</f>
        <v>744</v>
      </c>
      <c r="AE122" s="0" t="n">
        <f aca="false">W122*16</f>
        <v>416</v>
      </c>
      <c r="AF122" s="0" t="n">
        <f aca="false">V122*24+W122*8</f>
        <v>328</v>
      </c>
      <c r="AH122" s="0" t="n">
        <f aca="false">X122*24</f>
        <v>744</v>
      </c>
      <c r="AI122" s="0" t="n">
        <f aca="false">AB122*16</f>
        <v>368</v>
      </c>
      <c r="AJ122" s="0" t="n">
        <f aca="false">AB122*13</f>
        <v>299</v>
      </c>
      <c r="AK122" s="0" t="n">
        <f aca="false">AB122*14</f>
        <v>322</v>
      </c>
      <c r="AL122" s="0" t="n">
        <f aca="false">AB122*8</f>
        <v>184</v>
      </c>
      <c r="AM122" s="0" t="n">
        <f aca="false">AA122*24</f>
        <v>192</v>
      </c>
      <c r="AO122" s="68" t="n">
        <f aca="false">AI122/AH122</f>
        <v>0.494623655913979</v>
      </c>
      <c r="AP122" s="68" t="n">
        <f aca="false">AL122/AH122</f>
        <v>0.247311827956989</v>
      </c>
      <c r="AQ122" s="68" t="n">
        <f aca="false">1-(AO122+AP122)</f>
        <v>0.258064516129032</v>
      </c>
      <c r="AR122" s="48" t="n">
        <f aca="false">AQ122+AP122</f>
        <v>0.505376344086022</v>
      </c>
    </row>
    <row r="123" customFormat="false" ht="12.75" hidden="false" customHeight="false" outlineLevel="0" collapsed="false">
      <c r="A123" s="52" t="n">
        <v>39904</v>
      </c>
      <c r="B123" s="59" t="n">
        <v>27.15</v>
      </c>
      <c r="C123" s="59" t="n">
        <v>17.3042</v>
      </c>
      <c r="D123" s="60" t="n">
        <v>27.65</v>
      </c>
      <c r="E123" s="60" t="n">
        <v>20.7375</v>
      </c>
      <c r="F123" s="60" t="n">
        <f aca="false">((G123*AD123)-(B123*AE123))*(1/AF123)</f>
        <v>18.027</v>
      </c>
      <c r="G123" s="54" t="n">
        <f aca="false">((Z123*16*E123)+(B123*W123*16)+(X123*8*C123))/(X123*24)</f>
        <v>23.2980666666667</v>
      </c>
      <c r="H123" s="54" t="n">
        <f aca="false">(F123*AF123+B123*AE123)/AD123</f>
        <v>23.2980666666667</v>
      </c>
      <c r="I123" s="54" t="n">
        <f aca="false">B123*$C$5+F123*$C$6</f>
        <v>23.13588</v>
      </c>
      <c r="K123" s="76" t="n">
        <v>3.5765961860216</v>
      </c>
      <c r="M123" s="71" t="n">
        <v>1.358242652892</v>
      </c>
      <c r="N123" s="71" t="n">
        <v>0.063675046855406</v>
      </c>
      <c r="O123" s="35" t="n">
        <f aca="false">1/((1+N123)^((A123-$B$2)/365))</f>
        <v>2.76892567484442</v>
      </c>
      <c r="Q123" s="54" t="n">
        <f aca="false">M123*B123</f>
        <v>36.8762880260178</v>
      </c>
      <c r="R123" s="54" t="n">
        <f aca="false">C123*M123</f>
        <v>23.5033025141738</v>
      </c>
      <c r="S123" s="54" t="n">
        <f aca="false">M123*G123</f>
        <v>31.644427876588</v>
      </c>
      <c r="T123" s="54" t="n">
        <f aca="false">F123*M123</f>
        <v>24.4850403036841</v>
      </c>
      <c r="V123" s="56" t="n">
        <f aca="false">Z123+AC123</f>
        <v>4</v>
      </c>
      <c r="W123" s="56" t="n">
        <f aca="false">X123-V123</f>
        <v>26</v>
      </c>
      <c r="X123" s="85" t="n">
        <f aca="false">X111</f>
        <v>30</v>
      </c>
      <c r="Y123" s="77" t="n">
        <v>4</v>
      </c>
      <c r="Z123" s="77" t="n">
        <v>4</v>
      </c>
      <c r="AA123" s="85" t="n">
        <f aca="false">AA111</f>
        <v>9</v>
      </c>
      <c r="AB123" s="85" t="n">
        <f aca="false">AB111</f>
        <v>21</v>
      </c>
      <c r="AD123" s="0" t="n">
        <f aca="false">X123*24</f>
        <v>720</v>
      </c>
      <c r="AE123" s="0" t="n">
        <f aca="false">W123*16</f>
        <v>416</v>
      </c>
      <c r="AF123" s="0" t="n">
        <f aca="false">V123*24+W123*8</f>
        <v>304</v>
      </c>
      <c r="AH123" s="0" t="n">
        <f aca="false">X123*24</f>
        <v>720</v>
      </c>
      <c r="AI123" s="0" t="n">
        <f aca="false">AB123*16</f>
        <v>336</v>
      </c>
      <c r="AJ123" s="0" t="n">
        <f aca="false">AB123*13</f>
        <v>273</v>
      </c>
      <c r="AK123" s="0" t="n">
        <f aca="false">AB123*14</f>
        <v>294</v>
      </c>
      <c r="AL123" s="0" t="n">
        <f aca="false">AB123*8</f>
        <v>168</v>
      </c>
      <c r="AM123" s="0" t="n">
        <f aca="false">AA123*24</f>
        <v>216</v>
      </c>
      <c r="AO123" s="68" t="n">
        <f aca="false">AI123/AH123</f>
        <v>0.466666666666667</v>
      </c>
      <c r="AP123" s="68" t="n">
        <f aca="false">AL123/AH123</f>
        <v>0.233333333333333</v>
      </c>
      <c r="AQ123" s="68" t="n">
        <f aca="false">1-(AO123+AP123)</f>
        <v>0.3</v>
      </c>
      <c r="AR123" s="48" t="n">
        <f aca="false">AQ123+AP123</f>
        <v>0.533333333333333</v>
      </c>
    </row>
    <row r="124" customFormat="false" ht="12.75" hidden="false" customHeight="false" outlineLevel="0" collapsed="false">
      <c r="A124" s="52" t="n">
        <v>39934</v>
      </c>
      <c r="B124" s="59" t="n">
        <v>25.15</v>
      </c>
      <c r="C124" s="59" t="n">
        <v>7.74838709677419</v>
      </c>
      <c r="D124" s="60" t="n">
        <v>24.9</v>
      </c>
      <c r="E124" s="60" t="n">
        <v>18.675</v>
      </c>
      <c r="F124" s="60" t="n">
        <f aca="false">((G124*AD124)-(B124*AE124))*(1/AF124)</f>
        <v>9.92906976744186</v>
      </c>
      <c r="G124" s="54" t="n">
        <f aca="false">((Z124*16*E124)+(B124*W124*16)+(X124*8*C124))/(X124*24)</f>
        <v>18.1123655913978</v>
      </c>
      <c r="H124" s="54" t="n">
        <f aca="false">(F124*AF124+B124*AE124)/AD124</f>
        <v>18.1123655913978</v>
      </c>
      <c r="I124" s="54" t="n">
        <f aca="false">B124*$C$5+F124*$C$6</f>
        <v>18.4527906976744</v>
      </c>
      <c r="K124" s="76" t="n">
        <v>3.54922678706759</v>
      </c>
      <c r="M124" s="71" t="n">
        <v>1.357468741054</v>
      </c>
      <c r="N124" s="71" t="n">
        <v>0.063683810458564</v>
      </c>
      <c r="O124" s="35" t="n">
        <f aca="false">1/((1+N124)^((A124-$B$2)/365))</f>
        <v>2.75528521268941</v>
      </c>
      <c r="Q124" s="54" t="n">
        <f aca="false">M124*B124</f>
        <v>34.1403388375081</v>
      </c>
      <c r="R124" s="54" t="n">
        <f aca="false">C124*M124</f>
        <v>10.5181932774571</v>
      </c>
      <c r="S124" s="54" t="n">
        <f aca="false">M124*G124</f>
        <v>24.5869701168646</v>
      </c>
      <c r="T124" s="54" t="n">
        <f aca="false">F124*M124</f>
        <v>13.4784018370466</v>
      </c>
      <c r="V124" s="56" t="n">
        <f aca="false">Z124+AC124</f>
        <v>6</v>
      </c>
      <c r="W124" s="56" t="n">
        <f aca="false">X124-V124</f>
        <v>25</v>
      </c>
      <c r="X124" s="85" t="n">
        <f aca="false">X112</f>
        <v>31</v>
      </c>
      <c r="Y124" s="77" t="n">
        <v>5</v>
      </c>
      <c r="Z124" s="77" t="n">
        <v>5</v>
      </c>
      <c r="AA124" s="85" t="n">
        <f aca="false">AA112</f>
        <v>9</v>
      </c>
      <c r="AB124" s="85" t="n">
        <f aca="false">AB112</f>
        <v>22</v>
      </c>
      <c r="AC124" s="0" t="n">
        <v>1</v>
      </c>
      <c r="AD124" s="0" t="n">
        <f aca="false">X124*24</f>
        <v>744</v>
      </c>
      <c r="AE124" s="0" t="n">
        <f aca="false">W124*16</f>
        <v>400</v>
      </c>
      <c r="AF124" s="0" t="n">
        <f aca="false">V124*24+W124*8</f>
        <v>344</v>
      </c>
      <c r="AH124" s="0" t="n">
        <f aca="false">X124*24</f>
        <v>744</v>
      </c>
      <c r="AI124" s="0" t="n">
        <f aca="false">AB124*16</f>
        <v>352</v>
      </c>
      <c r="AJ124" s="0" t="n">
        <f aca="false">AB124*13</f>
        <v>286</v>
      </c>
      <c r="AK124" s="0" t="n">
        <f aca="false">AB124*14</f>
        <v>308</v>
      </c>
      <c r="AL124" s="0" t="n">
        <f aca="false">AB124*8</f>
        <v>176</v>
      </c>
      <c r="AM124" s="0" t="n">
        <f aca="false">AA124*24</f>
        <v>216</v>
      </c>
      <c r="AO124" s="68" t="n">
        <f aca="false">AI124/AH124</f>
        <v>0.473118279569893</v>
      </c>
      <c r="AP124" s="68" t="n">
        <f aca="false">AL124/AH124</f>
        <v>0.236559139784946</v>
      </c>
      <c r="AQ124" s="68" t="n">
        <f aca="false">1-(AO124+AP124)</f>
        <v>0.290322580645161</v>
      </c>
      <c r="AR124" s="48" t="n">
        <f aca="false">AQ124+AP124</f>
        <v>0.526881720430108</v>
      </c>
    </row>
    <row r="125" customFormat="false" ht="12.75" hidden="false" customHeight="false" outlineLevel="0" collapsed="false">
      <c r="A125" s="52" t="n">
        <v>39965</v>
      </c>
      <c r="B125" s="59" t="n">
        <v>27.15</v>
      </c>
      <c r="C125" s="59" t="n">
        <v>8.45</v>
      </c>
      <c r="D125" s="60" t="n">
        <v>26.9</v>
      </c>
      <c r="E125" s="60" t="n">
        <v>20.175</v>
      </c>
      <c r="F125" s="60" t="n">
        <f aca="false">((G125*AD125)-(B125*AE125))*(1/AF125)</f>
        <v>10.9184210526316</v>
      </c>
      <c r="G125" s="54" t="n">
        <f aca="false">((Z125*16*E125)+(B125*W125*16)+(X125*8*C125))/(X125*24)</f>
        <v>20.2966666666667</v>
      </c>
      <c r="H125" s="54" t="n">
        <f aca="false">(F125*AF125+B125*AE125)/AD125</f>
        <v>20.2966666666667</v>
      </c>
      <c r="I125" s="54" t="n">
        <f aca="false">B125*$C$5+F125*$C$6</f>
        <v>20.0081052631579</v>
      </c>
      <c r="K125" s="76" t="n">
        <v>3.65512842560827</v>
      </c>
      <c r="M125" s="71" t="n">
        <v>1.356674705226</v>
      </c>
      <c r="N125" s="71" t="n">
        <v>0.063692866181854</v>
      </c>
      <c r="O125" s="35" t="n">
        <f aca="false">1/((1+N125)^((A125-$B$2)/365))</f>
        <v>2.74125675478221</v>
      </c>
      <c r="Q125" s="54" t="n">
        <f aca="false">M125*B125</f>
        <v>36.8337182468859</v>
      </c>
      <c r="R125" s="54" t="n">
        <f aca="false">C125*M125</f>
        <v>11.4639012591597</v>
      </c>
      <c r="S125" s="54" t="n">
        <f aca="false">M125*G125</f>
        <v>27.5359742670704</v>
      </c>
      <c r="T125" s="54" t="n">
        <f aca="false">F125*M125</f>
        <v>14.8127456631123</v>
      </c>
      <c r="V125" s="56" t="n">
        <f aca="false">Z125+AC125</f>
        <v>4</v>
      </c>
      <c r="W125" s="56" t="n">
        <f aca="false">X125-V125</f>
        <v>26</v>
      </c>
      <c r="X125" s="85" t="n">
        <f aca="false">X113</f>
        <v>30</v>
      </c>
      <c r="Y125" s="77" t="n">
        <v>4</v>
      </c>
      <c r="Z125" s="77" t="n">
        <v>4</v>
      </c>
      <c r="AA125" s="85" t="n">
        <f aca="false">AA113</f>
        <v>8</v>
      </c>
      <c r="AB125" s="85" t="n">
        <f aca="false">AB113</f>
        <v>22</v>
      </c>
      <c r="AD125" s="0" t="n">
        <f aca="false">X125*24</f>
        <v>720</v>
      </c>
      <c r="AE125" s="0" t="n">
        <f aca="false">W125*16</f>
        <v>416</v>
      </c>
      <c r="AF125" s="0" t="n">
        <f aca="false">V125*24+W125*8</f>
        <v>304</v>
      </c>
      <c r="AH125" s="0" t="n">
        <f aca="false">X125*24</f>
        <v>720</v>
      </c>
      <c r="AI125" s="0" t="n">
        <f aca="false">AB125*16</f>
        <v>352</v>
      </c>
      <c r="AJ125" s="0" t="n">
        <f aca="false">AB125*13</f>
        <v>286</v>
      </c>
      <c r="AK125" s="0" t="n">
        <f aca="false">AB125*14</f>
        <v>308</v>
      </c>
      <c r="AL125" s="0" t="n">
        <f aca="false">AB125*8</f>
        <v>176</v>
      </c>
      <c r="AM125" s="0" t="n">
        <f aca="false">AA125*24</f>
        <v>192</v>
      </c>
      <c r="AO125" s="68" t="n">
        <f aca="false">AI125/AH125</f>
        <v>0.488888888888889</v>
      </c>
      <c r="AP125" s="68" t="n">
        <f aca="false">AL125/AH125</f>
        <v>0.244444444444444</v>
      </c>
      <c r="AQ125" s="68" t="n">
        <f aca="false">1-(AO125+AP125)</f>
        <v>0.266666666666667</v>
      </c>
      <c r="AR125" s="48" t="n">
        <f aca="false">AQ125+AP125</f>
        <v>0.511111111111111</v>
      </c>
    </row>
    <row r="126" customFormat="false" ht="12.75" hidden="false" customHeight="false" outlineLevel="0" collapsed="false">
      <c r="A126" s="52" t="n">
        <v>39995</v>
      </c>
      <c r="B126" s="59" t="n">
        <v>59.5525</v>
      </c>
      <c r="C126" s="59" t="n">
        <v>19.1274193548387</v>
      </c>
      <c r="D126" s="60" t="n">
        <v>58.19</v>
      </c>
      <c r="E126" s="60" t="n">
        <v>43.6425</v>
      </c>
      <c r="F126" s="60" t="n">
        <f aca="false">((G126*AD126)-(B126*AE126))*(1/AF126)</f>
        <v>22.9778048780488</v>
      </c>
      <c r="G126" s="54" t="n">
        <f aca="false">((Z126*16*E126)+(B126*W126*16)+(X126*8*C126))/(X126*24)</f>
        <v>43.4281720430108</v>
      </c>
      <c r="H126" s="54" t="n">
        <f aca="false">(F126*AF126+B126*AE126)/AD126</f>
        <v>43.4281720430108</v>
      </c>
      <c r="I126" s="54" t="n">
        <f aca="false">B126*$C$5+F126*$C$6</f>
        <v>43.4596341463415</v>
      </c>
      <c r="K126" s="76" t="n">
        <v>3.63939217652712</v>
      </c>
      <c r="M126" s="71" t="n">
        <v>1.35591176463</v>
      </c>
      <c r="N126" s="71" t="n">
        <v>0.063701629785064</v>
      </c>
      <c r="O126" s="35" t="n">
        <f aca="false">1/((1+N126)^((A126-$B$2)/365))</f>
        <v>2.72774507917793</v>
      </c>
      <c r="Q126" s="54" t="n">
        <f aca="false">M126*B126</f>
        <v>80.7479353631281</v>
      </c>
      <c r="R126" s="54" t="n">
        <f aca="false">C126*M126</f>
        <v>25.9350929302374</v>
      </c>
      <c r="S126" s="54" t="n">
        <f aca="false">M126*G126</f>
        <v>58.884769389494</v>
      </c>
      <c r="T126" s="54" t="n">
        <f aca="false">F126*M126</f>
        <v>31.155875959519</v>
      </c>
      <c r="V126" s="56" t="n">
        <f aca="false">Z126+AC126</f>
        <v>5</v>
      </c>
      <c r="W126" s="56" t="n">
        <f aca="false">X126-V126</f>
        <v>26</v>
      </c>
      <c r="X126" s="85" t="n">
        <f aca="false">X114</f>
        <v>31</v>
      </c>
      <c r="Y126" s="77" t="n">
        <v>4</v>
      </c>
      <c r="Z126" s="77" t="n">
        <v>4</v>
      </c>
      <c r="AA126" s="85" t="n">
        <f aca="false">AA114</f>
        <v>10</v>
      </c>
      <c r="AB126" s="85" t="n">
        <f aca="false">AB114</f>
        <v>21</v>
      </c>
      <c r="AC126" s="0" t="n">
        <v>1</v>
      </c>
      <c r="AD126" s="0" t="n">
        <f aca="false">X126*24</f>
        <v>744</v>
      </c>
      <c r="AE126" s="0" t="n">
        <f aca="false">W126*16</f>
        <v>416</v>
      </c>
      <c r="AF126" s="0" t="n">
        <f aca="false">V126*24+W126*8</f>
        <v>328</v>
      </c>
      <c r="AH126" s="0" t="n">
        <f aca="false">X126*24</f>
        <v>744</v>
      </c>
      <c r="AI126" s="0" t="n">
        <f aca="false">AB126*16</f>
        <v>336</v>
      </c>
      <c r="AJ126" s="0" t="n">
        <f aca="false">AB126*13</f>
        <v>273</v>
      </c>
      <c r="AK126" s="0" t="n">
        <f aca="false">AB126*14</f>
        <v>294</v>
      </c>
      <c r="AL126" s="0" t="n">
        <f aca="false">AB126*8</f>
        <v>168</v>
      </c>
      <c r="AM126" s="0" t="n">
        <f aca="false">AA126*24</f>
        <v>240</v>
      </c>
      <c r="AO126" s="68" t="n">
        <f aca="false">AI126/AH126</f>
        <v>0.451612903225806</v>
      </c>
      <c r="AP126" s="68" t="n">
        <f aca="false">AL126/AH126</f>
        <v>0.225806451612903</v>
      </c>
      <c r="AQ126" s="68" t="n">
        <f aca="false">1-(AO126+AP126)</f>
        <v>0.32258064516129</v>
      </c>
      <c r="AR126" s="48" t="n">
        <f aca="false">AQ126+AP126</f>
        <v>0.548387096774194</v>
      </c>
    </row>
    <row r="127" customFormat="false" ht="12.75" hidden="false" customHeight="false" outlineLevel="0" collapsed="false">
      <c r="A127" s="52" t="n">
        <v>40026</v>
      </c>
      <c r="B127" s="59" t="n">
        <v>72.5525</v>
      </c>
      <c r="C127" s="59" t="n">
        <v>21.4016129032258</v>
      </c>
      <c r="D127" s="60" t="n">
        <v>71.19</v>
      </c>
      <c r="E127" s="60" t="n">
        <v>53.3925</v>
      </c>
      <c r="F127" s="60" t="n">
        <f aca="false">((G127*AD127)-(B127*AE127))*(1/AF127)</f>
        <v>29.2042682926829</v>
      </c>
      <c r="G127" s="54" t="n">
        <f aca="false">((Z127*16*E127)+(B127*W127*16)+(X127*8*C127))/(X127*24)</f>
        <v>53.4419892473118</v>
      </c>
      <c r="H127" s="54" t="n">
        <f aca="false">(F127*AF127+B127*AE127)/AD127</f>
        <v>53.4419892473118</v>
      </c>
      <c r="I127" s="54" t="n">
        <f aca="false">B127*$C$5+F127*$C$6</f>
        <v>53.4792780487805</v>
      </c>
      <c r="K127" s="76" t="n">
        <v>3.63651610664135</v>
      </c>
      <c r="M127" s="71" t="n">
        <v>1.355129047338</v>
      </c>
      <c r="N127" s="71" t="n">
        <v>0.063710685508407</v>
      </c>
      <c r="O127" s="35" t="n">
        <f aca="false">1/((1+N127)^((A127-$B$2)/365))</f>
        <v>2.71384911228192</v>
      </c>
      <c r="Q127" s="54" t="n">
        <f aca="false">M127*B127</f>
        <v>98.3180002069903</v>
      </c>
      <c r="R127" s="54" t="n">
        <f aca="false">C127*M127</f>
        <v>29.001947305045</v>
      </c>
      <c r="S127" s="54" t="n">
        <f aca="false">M127*G127</f>
        <v>72.4207919765573</v>
      </c>
      <c r="T127" s="54" t="n">
        <f aca="false">F127*M127</f>
        <v>39.5755522696668</v>
      </c>
      <c r="V127" s="56" t="n">
        <f aca="false">Z127+AC127</f>
        <v>5</v>
      </c>
      <c r="W127" s="56" t="n">
        <f aca="false">X127-V127</f>
        <v>26</v>
      </c>
      <c r="X127" s="85" t="n">
        <f aca="false">X115</f>
        <v>31</v>
      </c>
      <c r="Y127" s="77" t="n">
        <v>5</v>
      </c>
      <c r="Z127" s="77" t="n">
        <v>5</v>
      </c>
      <c r="AA127" s="85" t="n">
        <f aca="false">AA115</f>
        <v>8</v>
      </c>
      <c r="AB127" s="85" t="n">
        <f aca="false">AB115</f>
        <v>23</v>
      </c>
      <c r="AD127" s="0" t="n">
        <f aca="false">X127*24</f>
        <v>744</v>
      </c>
      <c r="AE127" s="0" t="n">
        <f aca="false">W127*16</f>
        <v>416</v>
      </c>
      <c r="AF127" s="0" t="n">
        <f aca="false">V127*24+W127*8</f>
        <v>328</v>
      </c>
      <c r="AH127" s="0" t="n">
        <f aca="false">X127*24</f>
        <v>744</v>
      </c>
      <c r="AI127" s="0" t="n">
        <f aca="false">AB127*16</f>
        <v>368</v>
      </c>
      <c r="AJ127" s="0" t="n">
        <f aca="false">AB127*13</f>
        <v>299</v>
      </c>
      <c r="AK127" s="0" t="n">
        <f aca="false">AB127*14</f>
        <v>322</v>
      </c>
      <c r="AL127" s="0" t="n">
        <f aca="false">AB127*8</f>
        <v>184</v>
      </c>
      <c r="AM127" s="0" t="n">
        <f aca="false">AA127*24</f>
        <v>192</v>
      </c>
      <c r="AO127" s="68" t="n">
        <f aca="false">AI127/AH127</f>
        <v>0.494623655913979</v>
      </c>
      <c r="AP127" s="68" t="n">
        <f aca="false">AL127/AH127</f>
        <v>0.247311827956989</v>
      </c>
      <c r="AQ127" s="68" t="n">
        <f aca="false">1-(AO127+AP127)</f>
        <v>0.258064516129032</v>
      </c>
      <c r="AR127" s="48" t="n">
        <f aca="false">AQ127+AP127</f>
        <v>0.505376344086022</v>
      </c>
    </row>
    <row r="128" customFormat="false" ht="12.75" hidden="false" customHeight="false" outlineLevel="0" collapsed="false">
      <c r="A128" s="52" t="n">
        <v>40057</v>
      </c>
      <c r="B128" s="59" t="n">
        <v>64.9</v>
      </c>
      <c r="C128" s="59" t="n">
        <v>20.025</v>
      </c>
      <c r="D128" s="60" t="n">
        <v>64.15</v>
      </c>
      <c r="E128" s="60" t="n">
        <v>48.1125</v>
      </c>
      <c r="F128" s="60" t="n">
        <f aca="false">((G128*AD128)-(B128*AE128))*(1/AF128)</f>
        <v>24.64125</v>
      </c>
      <c r="G128" s="54" t="n">
        <f aca="false">((Z128*16*E128)+(B128*W128*16)+(X128*8*C128))/(X128*24)</f>
        <v>47.0072222222222</v>
      </c>
      <c r="H128" s="54" t="n">
        <f aca="false">(F128*AF128+B128*AE128)/AD128</f>
        <v>47.0072222222222</v>
      </c>
      <c r="I128" s="54" t="n">
        <f aca="false">B128*$C$5+F128*$C$6</f>
        <v>47.18615</v>
      </c>
      <c r="K128" s="76" t="n">
        <v>3.61944634341097</v>
      </c>
      <c r="M128" s="71" t="n">
        <v>1.3543520681</v>
      </c>
      <c r="N128" s="71" t="n">
        <v>0.063719741231778</v>
      </c>
      <c r="O128" s="35" t="n">
        <f aca="false">1/((1+N128)^((A128-$B$2)/365))</f>
        <v>2.70002002802224</v>
      </c>
      <c r="Q128" s="54" t="n">
        <f aca="false">M128*B128</f>
        <v>87.89744921969</v>
      </c>
      <c r="R128" s="54" t="n">
        <f aca="false">C128*M128</f>
        <v>27.1209001637025</v>
      </c>
      <c r="S128" s="54" t="n">
        <f aca="false">M128*G128</f>
        <v>63.664328632303</v>
      </c>
      <c r="T128" s="54" t="n">
        <f aca="false">F128*M128</f>
        <v>33.3729278980691</v>
      </c>
      <c r="V128" s="56" t="n">
        <f aca="false">Z128+AC128</f>
        <v>5</v>
      </c>
      <c r="W128" s="56" t="n">
        <f aca="false">X128-V128</f>
        <v>25</v>
      </c>
      <c r="X128" s="85" t="n">
        <f aca="false">X116</f>
        <v>30</v>
      </c>
      <c r="Y128" s="77" t="n">
        <v>4</v>
      </c>
      <c r="Z128" s="77" t="n">
        <v>4</v>
      </c>
      <c r="AA128" s="85" t="n">
        <f aca="false">AA116</f>
        <v>8</v>
      </c>
      <c r="AB128" s="85" t="n">
        <f aca="false">AB116</f>
        <v>22</v>
      </c>
      <c r="AC128" s="0" t="n">
        <v>1</v>
      </c>
      <c r="AD128" s="0" t="n">
        <f aca="false">X128*24</f>
        <v>720</v>
      </c>
      <c r="AE128" s="0" t="n">
        <f aca="false">W128*16</f>
        <v>400</v>
      </c>
      <c r="AF128" s="0" t="n">
        <f aca="false">V128*24+W128*8</f>
        <v>320</v>
      </c>
      <c r="AH128" s="0" t="n">
        <f aca="false">X128*24</f>
        <v>720</v>
      </c>
      <c r="AI128" s="0" t="n">
        <f aca="false">AB128*16</f>
        <v>352</v>
      </c>
      <c r="AJ128" s="0" t="n">
        <f aca="false">AB128*13</f>
        <v>286</v>
      </c>
      <c r="AK128" s="0" t="n">
        <f aca="false">AB128*14</f>
        <v>308</v>
      </c>
      <c r="AL128" s="0" t="n">
        <f aca="false">AB128*8</f>
        <v>176</v>
      </c>
      <c r="AM128" s="0" t="n">
        <f aca="false">AA128*24</f>
        <v>192</v>
      </c>
      <c r="AO128" s="68" t="n">
        <f aca="false">AI128/AH128</f>
        <v>0.488888888888889</v>
      </c>
      <c r="AP128" s="68" t="n">
        <f aca="false">AL128/AH128</f>
        <v>0.244444444444444</v>
      </c>
      <c r="AQ128" s="68" t="n">
        <f aca="false">1-(AO128+AP128)</f>
        <v>0.266666666666667</v>
      </c>
      <c r="AR128" s="48" t="n">
        <f aca="false">AQ128+AP128</f>
        <v>0.511111111111111</v>
      </c>
    </row>
    <row r="129" customFormat="false" ht="12.75" hidden="false" customHeight="false" outlineLevel="0" collapsed="false">
      <c r="A129" s="52" t="n">
        <v>40087</v>
      </c>
      <c r="B129" s="59" t="n">
        <v>38.65</v>
      </c>
      <c r="C129" s="59" t="n">
        <v>26.7483870967742</v>
      </c>
      <c r="D129" s="60" t="n">
        <v>37.15</v>
      </c>
      <c r="E129" s="60" t="n">
        <v>27.8625</v>
      </c>
      <c r="F129" s="60" t="n">
        <f aca="false">((G129*AD129)-(B129*AE129))*(1/AF129)</f>
        <v>26.9769230769231</v>
      </c>
      <c r="G129" s="54" t="n">
        <f aca="false">((Z129*16*E129)+(B129*W129*16)+(X129*8*C129))/(X129*24)</f>
        <v>33.7548387096774</v>
      </c>
      <c r="H129" s="54" t="n">
        <f aca="false">(F129*AF129+B129*AE129)/AD129</f>
        <v>33.7548387096774</v>
      </c>
      <c r="I129" s="54" t="n">
        <f aca="false">B129*$C$5+F129*$C$6</f>
        <v>33.5138461538462</v>
      </c>
      <c r="K129" s="76" t="n">
        <v>3.63475780120322</v>
      </c>
      <c r="M129" s="71" t="n">
        <v>1.353605607305</v>
      </c>
      <c r="N129" s="71" t="n">
        <v>0.063728504835066</v>
      </c>
      <c r="O129" s="35" t="n">
        <f aca="false">1/((1+N129)^((A129-$B$2)/365))</f>
        <v>2.68670044106339</v>
      </c>
      <c r="Q129" s="54" t="n">
        <f aca="false">M129*B129</f>
        <v>52.3168567223383</v>
      </c>
      <c r="R129" s="54" t="n">
        <f aca="false">C129*M129</f>
        <v>36.2067667605583</v>
      </c>
      <c r="S129" s="54" t="n">
        <f aca="false">M129*G129</f>
        <v>45.6907389510952</v>
      </c>
      <c r="T129" s="54" t="n">
        <f aca="false">F129*M129</f>
        <v>36.5161143447587</v>
      </c>
      <c r="V129" s="56" t="n">
        <f aca="false">Z129+AC129</f>
        <v>4</v>
      </c>
      <c r="W129" s="56" t="n">
        <f aca="false">X129-V129</f>
        <v>27</v>
      </c>
      <c r="X129" s="85" t="n">
        <f aca="false">X117</f>
        <v>31</v>
      </c>
      <c r="Y129" s="77" t="n">
        <v>5</v>
      </c>
      <c r="Z129" s="77" t="n">
        <v>4</v>
      </c>
      <c r="AA129" s="85" t="n">
        <f aca="false">AA117</f>
        <v>10</v>
      </c>
      <c r="AB129" s="85" t="n">
        <f aca="false">AB117</f>
        <v>21</v>
      </c>
      <c r="AD129" s="0" t="n">
        <f aca="false">X129*24</f>
        <v>744</v>
      </c>
      <c r="AE129" s="0" t="n">
        <f aca="false">W129*16</f>
        <v>432</v>
      </c>
      <c r="AF129" s="0" t="n">
        <f aca="false">V129*24+W129*8</f>
        <v>312</v>
      </c>
      <c r="AH129" s="0" t="n">
        <f aca="false">X129*24</f>
        <v>744</v>
      </c>
      <c r="AI129" s="0" t="n">
        <f aca="false">AB129*16</f>
        <v>336</v>
      </c>
      <c r="AJ129" s="0" t="n">
        <f aca="false">AB129*13</f>
        <v>273</v>
      </c>
      <c r="AK129" s="0" t="n">
        <f aca="false">AB129*14</f>
        <v>294</v>
      </c>
      <c r="AL129" s="0" t="n">
        <f aca="false">AB129*8</f>
        <v>168</v>
      </c>
      <c r="AM129" s="0" t="n">
        <f aca="false">AA129*24</f>
        <v>240</v>
      </c>
      <c r="AO129" s="68" t="n">
        <f aca="false">AI129/AH129</f>
        <v>0.451612903225806</v>
      </c>
      <c r="AP129" s="68" t="n">
        <f aca="false">AL129/AH129</f>
        <v>0.225806451612903</v>
      </c>
      <c r="AQ129" s="68" t="n">
        <f aca="false">1-(AO129+AP129)</f>
        <v>0.32258064516129</v>
      </c>
      <c r="AR129" s="48" t="n">
        <f aca="false">AQ129+AP129</f>
        <v>0.548387096774194</v>
      </c>
    </row>
    <row r="130" customFormat="false" ht="12.75" hidden="false" customHeight="false" outlineLevel="0" collapsed="false">
      <c r="A130" s="52" t="n">
        <v>40118</v>
      </c>
      <c r="B130" s="59" t="n">
        <v>37.4</v>
      </c>
      <c r="C130" s="59" t="n">
        <v>27.2625</v>
      </c>
      <c r="D130" s="60" t="n">
        <v>34.15</v>
      </c>
      <c r="E130" s="60" t="n">
        <v>25.6125</v>
      </c>
      <c r="F130" s="60" t="n">
        <f aca="false">((G130*AD130)-(B130*AE130))*(1/AF130)</f>
        <v>25.5714285714286</v>
      </c>
      <c r="G130" s="54" t="n">
        <f aca="false">((Z130*16*E130)+(B130*W130*16)+(X130*8*C130))/(X130*24)</f>
        <v>31.88</v>
      </c>
      <c r="H130" s="54" t="n">
        <f aca="false">(F130*AF130+B130*AE130)/AD130</f>
        <v>31.88</v>
      </c>
      <c r="I130" s="54" t="n">
        <f aca="false">B130*$C$5+F130*$C$6</f>
        <v>32.1954285714286</v>
      </c>
      <c r="K130" s="76" t="n">
        <v>3.69250561409272</v>
      </c>
      <c r="M130" s="71" t="n">
        <v>1.352839891893</v>
      </c>
      <c r="N130" s="71" t="n">
        <v>0.063737560558491</v>
      </c>
      <c r="O130" s="35" t="n">
        <f aca="false">1/((1+N130)^((A130-$B$2)/365))</f>
        <v>2.67300208732744</v>
      </c>
      <c r="Q130" s="54" t="n">
        <f aca="false">M130*B130</f>
        <v>50.5962119567982</v>
      </c>
      <c r="R130" s="54" t="n">
        <f aca="false">C130*M130</f>
        <v>36.8817975527329</v>
      </c>
      <c r="S130" s="54" t="n">
        <f aca="false">M130*G130</f>
        <v>43.1285357535488</v>
      </c>
      <c r="T130" s="54" t="n">
        <f aca="false">F130*M130</f>
        <v>34.594048664121</v>
      </c>
      <c r="V130" s="56" t="n">
        <f aca="false">Z130+AC130</f>
        <v>6</v>
      </c>
      <c r="W130" s="56" t="n">
        <f aca="false">X130-V130</f>
        <v>24</v>
      </c>
      <c r="X130" s="85" t="n">
        <f aca="false">X118</f>
        <v>30</v>
      </c>
      <c r="Y130" s="77" t="n">
        <v>4</v>
      </c>
      <c r="Z130" s="77" t="n">
        <v>5</v>
      </c>
      <c r="AA130" s="85" t="n">
        <f aca="false">AA118</f>
        <v>8</v>
      </c>
      <c r="AB130" s="85" t="n">
        <f aca="false">AB118</f>
        <v>22</v>
      </c>
      <c r="AC130" s="0" t="n">
        <v>1</v>
      </c>
      <c r="AD130" s="0" t="n">
        <f aca="false">X130*24</f>
        <v>720</v>
      </c>
      <c r="AE130" s="0" t="n">
        <f aca="false">W130*16</f>
        <v>384</v>
      </c>
      <c r="AF130" s="0" t="n">
        <f aca="false">V130*24+W130*8</f>
        <v>336</v>
      </c>
      <c r="AH130" s="0" t="n">
        <f aca="false">X130*24</f>
        <v>720</v>
      </c>
      <c r="AI130" s="0" t="n">
        <f aca="false">AB130*16</f>
        <v>352</v>
      </c>
      <c r="AJ130" s="0" t="n">
        <f aca="false">AB130*13</f>
        <v>286</v>
      </c>
      <c r="AK130" s="0" t="n">
        <f aca="false">AB130*14</f>
        <v>308</v>
      </c>
      <c r="AL130" s="0" t="n">
        <f aca="false">AB130*8</f>
        <v>176</v>
      </c>
      <c r="AM130" s="0" t="n">
        <f aca="false">AA130*24</f>
        <v>192</v>
      </c>
      <c r="AO130" s="68" t="n">
        <f aca="false">AI130/AH130</f>
        <v>0.488888888888889</v>
      </c>
      <c r="AP130" s="68" t="n">
        <f aca="false">AL130/AH130</f>
        <v>0.244444444444444</v>
      </c>
      <c r="AQ130" s="68" t="n">
        <f aca="false">1-(AO130+AP130)</f>
        <v>0.266666666666667</v>
      </c>
      <c r="AR130" s="48" t="n">
        <f aca="false">AQ130+AP130</f>
        <v>0.511111111111111</v>
      </c>
    </row>
    <row r="131" customFormat="false" ht="12.75" hidden="false" customHeight="false" outlineLevel="0" collapsed="false">
      <c r="A131" s="52" t="n">
        <v>40148</v>
      </c>
      <c r="B131" s="59" t="n">
        <v>37.4</v>
      </c>
      <c r="C131" s="59" t="n">
        <v>26.5387096774194</v>
      </c>
      <c r="D131" s="60" t="n">
        <v>33.65</v>
      </c>
      <c r="E131" s="60" t="n">
        <v>25.2375</v>
      </c>
      <c r="F131" s="60" t="n">
        <f aca="false">((G131*AD131)-(B131*AE131))*(1/AF131)</f>
        <v>24.990243902439</v>
      </c>
      <c r="G131" s="54" t="n">
        <f aca="false">((Z131*16*E131)+(B131*W131*16)+(X131*8*C131))/(X131*24)</f>
        <v>31.9290322580645</v>
      </c>
      <c r="H131" s="54" t="n">
        <f aca="false">(F131*AF131+B131*AE131)/AD131</f>
        <v>31.9290322580645</v>
      </c>
      <c r="I131" s="54" t="n">
        <f aca="false">B131*$C$5+F131*$C$6</f>
        <v>31.9397073170732</v>
      </c>
      <c r="K131" s="76" t="n">
        <v>3.81081391208136</v>
      </c>
      <c r="M131" s="71" t="n">
        <v>1.352104314293</v>
      </c>
      <c r="N131" s="71" t="n">
        <v>0.06374632416183</v>
      </c>
      <c r="O131" s="35" t="n">
        <f aca="false">1/((1+N131)^((A131-$B$2)/365))</f>
        <v>2.65980845356809</v>
      </c>
      <c r="Q131" s="54" t="n">
        <f aca="false">M131*B131</f>
        <v>50.5687013545582</v>
      </c>
      <c r="R131" s="54" t="n">
        <f aca="false">C131*M131</f>
        <v>35.8831038506081</v>
      </c>
      <c r="S131" s="54" t="n">
        <f aca="false">M131*G131</f>
        <v>43.1713822673294</v>
      </c>
      <c r="T131" s="54" t="n">
        <f aca="false">F131*M131</f>
        <v>33.7894165957222</v>
      </c>
      <c r="V131" s="56" t="n">
        <f aca="false">Z131+AC131</f>
        <v>5</v>
      </c>
      <c r="W131" s="56" t="n">
        <f aca="false">X131-V131</f>
        <v>26</v>
      </c>
      <c r="X131" s="85" t="n">
        <f aca="false">X119</f>
        <v>31</v>
      </c>
      <c r="Y131" s="77" t="n">
        <v>4</v>
      </c>
      <c r="Z131" s="77" t="n">
        <v>4</v>
      </c>
      <c r="AA131" s="85" t="n">
        <f aca="false">AA119</f>
        <v>9</v>
      </c>
      <c r="AB131" s="85" t="n">
        <f aca="false">AB119</f>
        <v>22</v>
      </c>
      <c r="AC131" s="0" t="n">
        <v>1</v>
      </c>
      <c r="AD131" s="0" t="n">
        <f aca="false">X131*24</f>
        <v>744</v>
      </c>
      <c r="AE131" s="0" t="n">
        <f aca="false">W131*16</f>
        <v>416</v>
      </c>
      <c r="AF131" s="0" t="n">
        <f aca="false">V131*24+W131*8</f>
        <v>328</v>
      </c>
      <c r="AH131" s="0" t="n">
        <f aca="false">X131*24</f>
        <v>744</v>
      </c>
      <c r="AI131" s="0" t="n">
        <f aca="false">AB131*16</f>
        <v>352</v>
      </c>
      <c r="AJ131" s="0" t="n">
        <f aca="false">AB131*13</f>
        <v>286</v>
      </c>
      <c r="AK131" s="0" t="n">
        <f aca="false">AB131*14</f>
        <v>308</v>
      </c>
      <c r="AL131" s="0" t="n">
        <f aca="false">AB131*8</f>
        <v>176</v>
      </c>
      <c r="AM131" s="0" t="n">
        <f aca="false">AA131*24</f>
        <v>216</v>
      </c>
      <c r="AO131" s="68" t="n">
        <f aca="false">AI131/AH131</f>
        <v>0.473118279569893</v>
      </c>
      <c r="AP131" s="68" t="n">
        <f aca="false">AL131/AH131</f>
        <v>0.236559139784946</v>
      </c>
      <c r="AQ131" s="68" t="n">
        <f aca="false">1-(AO131+AP131)</f>
        <v>0.290322580645161</v>
      </c>
      <c r="AR131" s="48" t="n">
        <f aca="false">AQ131+AP131</f>
        <v>0.526881720430108</v>
      </c>
    </row>
    <row r="132" customFormat="false" ht="12.75" hidden="false" customHeight="false" outlineLevel="0" collapsed="false">
      <c r="A132" s="52" t="n">
        <v>40179</v>
      </c>
      <c r="B132" s="59" t="n">
        <v>32.75</v>
      </c>
      <c r="C132" s="59" t="n">
        <v>26.8346774193548</v>
      </c>
      <c r="D132" s="60" t="n">
        <v>33.25</v>
      </c>
      <c r="E132" s="60" t="n">
        <v>24.9375</v>
      </c>
      <c r="F132" s="60" t="n">
        <f aca="false">((G132*AD132)-(B132*AE132))*(1/AF132)</f>
        <v>25.1453488372093</v>
      </c>
      <c r="G132" s="54" t="n">
        <f aca="false">((Z132*16*E132)+(B132*W132*16)+(X132*8*C132))/(X132*24)</f>
        <v>29.2338709677419</v>
      </c>
      <c r="H132" s="54" t="n">
        <f aca="false">(F132*AF132+B132*AE132)/AD132</f>
        <v>29.2338709677419</v>
      </c>
      <c r="I132" s="54" t="n">
        <f aca="false">B132*$C$5+F132*$C$6</f>
        <v>29.4039534883721</v>
      </c>
      <c r="K132" s="76" t="n">
        <v>4.06530482944056</v>
      </c>
      <c r="M132" s="71" t="n">
        <v>1.351349827123</v>
      </c>
      <c r="N132" s="71" t="n">
        <v>0.063755379885308</v>
      </c>
      <c r="O132" s="35" t="n">
        <f aca="false">1/((1+N132)^((A132-$B$2)/365))</f>
        <v>2.64623967495717</v>
      </c>
      <c r="Q132" s="54" t="n">
        <f aca="false">M132*B132</f>
        <v>44.2567068382783</v>
      </c>
      <c r="R132" s="54" t="n">
        <f aca="false">C132*M132</f>
        <v>36.2630366915466</v>
      </c>
      <c r="S132" s="54" t="n">
        <f aca="false">M132*G132</f>
        <v>39.5051864783942</v>
      </c>
      <c r="T132" s="54" t="n">
        <f aca="false">F132*M132</f>
        <v>33.9801628041103</v>
      </c>
      <c r="V132" s="56" t="n">
        <f aca="false">Z132+AC132</f>
        <v>6</v>
      </c>
      <c r="W132" s="56" t="n">
        <f aca="false">X132-V132</f>
        <v>25</v>
      </c>
      <c r="X132" s="85" t="n">
        <f aca="false">X120</f>
        <v>31</v>
      </c>
      <c r="Y132" s="78" t="n">
        <v>5</v>
      </c>
      <c r="Z132" s="78" t="n">
        <v>5</v>
      </c>
      <c r="AA132" s="85" t="n">
        <f aca="false">AA120</f>
        <v>10</v>
      </c>
      <c r="AB132" s="85" t="n">
        <f aca="false">AB120</f>
        <v>21</v>
      </c>
      <c r="AC132" s="0" t="n">
        <v>1</v>
      </c>
      <c r="AD132" s="0" t="n">
        <f aca="false">X132*24</f>
        <v>744</v>
      </c>
      <c r="AE132" s="0" t="n">
        <f aca="false">W132*16</f>
        <v>400</v>
      </c>
      <c r="AF132" s="0" t="n">
        <f aca="false">V132*24+W132*8</f>
        <v>344</v>
      </c>
      <c r="AH132" s="0" t="n">
        <f aca="false">X132*24</f>
        <v>744</v>
      </c>
      <c r="AI132" s="0" t="n">
        <f aca="false">AB132*16</f>
        <v>336</v>
      </c>
      <c r="AJ132" s="0" t="n">
        <f aca="false">AB132*13</f>
        <v>273</v>
      </c>
      <c r="AK132" s="0" t="n">
        <f aca="false">AB132*14</f>
        <v>294</v>
      </c>
      <c r="AL132" s="0" t="n">
        <f aca="false">AB132*8</f>
        <v>168</v>
      </c>
      <c r="AM132" s="0" t="n">
        <f aca="false">AA132*24</f>
        <v>240</v>
      </c>
      <c r="AO132" s="68" t="n">
        <f aca="false">AI132/AH132</f>
        <v>0.451612903225806</v>
      </c>
      <c r="AP132" s="68" t="n">
        <f aca="false">AL132/AH132</f>
        <v>0.225806451612903</v>
      </c>
      <c r="AQ132" s="68" t="n">
        <f aca="false">1-(AO132+AP132)</f>
        <v>0.32258064516129</v>
      </c>
      <c r="AR132" s="48" t="n">
        <f aca="false">AQ132+AP132</f>
        <v>0.548387096774194</v>
      </c>
    </row>
    <row r="133" customFormat="false" ht="12.75" hidden="false" customHeight="false" outlineLevel="0" collapsed="false">
      <c r="A133" s="52" t="n">
        <v>40210</v>
      </c>
      <c r="B133" s="59" t="n">
        <v>31.25</v>
      </c>
      <c r="C133" s="59" t="n">
        <v>25.8035714285714</v>
      </c>
      <c r="D133" s="60" t="n">
        <v>31.75</v>
      </c>
      <c r="E133" s="60" t="n">
        <v>23.8125</v>
      </c>
      <c r="F133" s="60" t="n">
        <f aca="false">((G133*AD133)-(B133*AE133))*(1/AF133)</f>
        <v>25.3611111111111</v>
      </c>
      <c r="G133" s="54" t="n">
        <f aca="false">((Z133*16*E133)+(B133*W133*16)+(X133*8*C133))/(X133*24)</f>
        <v>28.7261904761905</v>
      </c>
      <c r="H133" s="54" t="n">
        <f aca="false">(F133*AF133+B133*AE133)/AD133</f>
        <v>28.7261904761905</v>
      </c>
      <c r="I133" s="54" t="n">
        <f aca="false">B133*$C$5+F133*$C$6</f>
        <v>28.6588888888889</v>
      </c>
      <c r="K133" s="76" t="n">
        <v>3.9348016921121</v>
      </c>
      <c r="M133" s="71" t="n">
        <v>1.35060103265</v>
      </c>
      <c r="N133" s="71" t="n">
        <v>0.063764435608814</v>
      </c>
      <c r="O133" s="35" t="n">
        <f aca="false">1/((1+N133)^((A133-$B$2)/365))</f>
        <v>2.63273630622856</v>
      </c>
      <c r="Q133" s="54" t="n">
        <f aca="false">M133*B133</f>
        <v>42.2062822703125</v>
      </c>
      <c r="R133" s="54" t="n">
        <f aca="false">C133*M133</f>
        <v>34.8503302174866</v>
      </c>
      <c r="S133" s="54" t="n">
        <f aca="false">M133*G133</f>
        <v>38.7976225212435</v>
      </c>
      <c r="T133" s="54" t="n">
        <f aca="false">F133*M133</f>
        <v>34.2527428558181</v>
      </c>
      <c r="V133" s="56" t="n">
        <f aca="false">Z133+AC133</f>
        <v>4</v>
      </c>
      <c r="W133" s="56" t="n">
        <f aca="false">X133-V133</f>
        <v>24</v>
      </c>
      <c r="X133" s="85" t="n">
        <f aca="false">X121</f>
        <v>28</v>
      </c>
      <c r="Y133" s="77" t="n">
        <v>4</v>
      </c>
      <c r="Z133" s="77" t="n">
        <v>4</v>
      </c>
      <c r="AA133" s="85" t="n">
        <f aca="false">AA121</f>
        <v>8</v>
      </c>
      <c r="AB133" s="85" t="n">
        <f aca="false">AB121</f>
        <v>20</v>
      </c>
      <c r="AD133" s="0" t="n">
        <f aca="false">X133*24</f>
        <v>672</v>
      </c>
      <c r="AE133" s="0" t="n">
        <f aca="false">W133*16</f>
        <v>384</v>
      </c>
      <c r="AF133" s="0" t="n">
        <f aca="false">V133*24+W133*8</f>
        <v>288</v>
      </c>
      <c r="AH133" s="0" t="n">
        <f aca="false">X133*24</f>
        <v>672</v>
      </c>
      <c r="AI133" s="0" t="n">
        <f aca="false">AB133*16</f>
        <v>320</v>
      </c>
      <c r="AJ133" s="0" t="n">
        <f aca="false">AB133*13</f>
        <v>260</v>
      </c>
      <c r="AK133" s="0" t="n">
        <f aca="false">AB133*14</f>
        <v>280</v>
      </c>
      <c r="AL133" s="0" t="n">
        <f aca="false">AB133*8</f>
        <v>160</v>
      </c>
      <c r="AM133" s="0" t="n">
        <f aca="false">AA133*24</f>
        <v>192</v>
      </c>
      <c r="AO133" s="68" t="n">
        <f aca="false">AI133/AH133</f>
        <v>0.476190476190476</v>
      </c>
      <c r="AP133" s="68" t="n">
        <f aca="false">AL133/AH133</f>
        <v>0.238095238095238</v>
      </c>
      <c r="AQ133" s="68" t="n">
        <f aca="false">1-(AO133+AP133)</f>
        <v>0.285714285714286</v>
      </c>
      <c r="AR133" s="48" t="n">
        <f aca="false">AQ133+AP133</f>
        <v>0.523809523809524</v>
      </c>
    </row>
    <row r="134" customFormat="false" ht="12.75" hidden="false" customHeight="false" outlineLevel="0" collapsed="false">
      <c r="A134" s="52" t="n">
        <v>40238</v>
      </c>
      <c r="B134" s="59" t="n">
        <v>29.5</v>
      </c>
      <c r="C134" s="59" t="n">
        <v>22.3306451612903</v>
      </c>
      <c r="D134" s="60" t="n">
        <v>30</v>
      </c>
      <c r="E134" s="60" t="n">
        <v>22.5</v>
      </c>
      <c r="F134" s="60" t="n">
        <f aca="false">((G134*AD134)-(B134*AE134))*(1/AF134)</f>
        <v>22.3653846153846</v>
      </c>
      <c r="G134" s="54" t="n">
        <f aca="false">((Z134*16*E134)+(B134*W134*16)+(X134*8*C134))/(X134*24)</f>
        <v>26.508064516129</v>
      </c>
      <c r="H134" s="54" t="n">
        <f aca="false">(F134*AF134+B134*AE134)/AD134</f>
        <v>26.508064516129</v>
      </c>
      <c r="I134" s="54" t="n">
        <f aca="false">B134*$C$5+F134*$C$6</f>
        <v>26.3607692307692</v>
      </c>
      <c r="K134" s="76" t="n">
        <v>3.76623033138908</v>
      </c>
      <c r="M134" s="71" t="n">
        <v>1.349929587683</v>
      </c>
      <c r="N134" s="71" t="n">
        <v>0.063772614972003</v>
      </c>
      <c r="O134" s="35" t="n">
        <f aca="false">1/((1+N134)^((A134-$B$2)/365))</f>
        <v>2.62059569111626</v>
      </c>
      <c r="Q134" s="54" t="n">
        <f aca="false">M134*B134</f>
        <v>39.8229228366485</v>
      </c>
      <c r="R134" s="54" t="n">
        <f aca="false">C134*M134</f>
        <v>30.144798615276</v>
      </c>
      <c r="S134" s="54" t="n">
        <f aca="false">M134*G134</f>
        <v>35.7840206025324</v>
      </c>
      <c r="T134" s="54" t="n">
        <f aca="false">F134*M134</f>
        <v>30.1916944322179</v>
      </c>
      <c r="V134" s="56" t="n">
        <f aca="false">Z134+AC134</f>
        <v>4</v>
      </c>
      <c r="W134" s="56" t="n">
        <f aca="false">X134-V134</f>
        <v>27</v>
      </c>
      <c r="X134" s="85" t="n">
        <f aca="false">X122</f>
        <v>31</v>
      </c>
      <c r="Y134" s="77" t="n">
        <v>4</v>
      </c>
      <c r="Z134" s="77" t="n">
        <v>4</v>
      </c>
      <c r="AA134" s="85" t="n">
        <f aca="false">AA122</f>
        <v>8</v>
      </c>
      <c r="AB134" s="85" t="n">
        <f aca="false">AB122</f>
        <v>23</v>
      </c>
      <c r="AD134" s="0" t="n">
        <f aca="false">X134*24</f>
        <v>744</v>
      </c>
      <c r="AE134" s="0" t="n">
        <f aca="false">W134*16</f>
        <v>432</v>
      </c>
      <c r="AF134" s="0" t="n">
        <f aca="false">V134*24+W134*8</f>
        <v>312</v>
      </c>
      <c r="AH134" s="0" t="n">
        <f aca="false">X134*24</f>
        <v>744</v>
      </c>
      <c r="AI134" s="0" t="n">
        <f aca="false">AB134*16</f>
        <v>368</v>
      </c>
      <c r="AJ134" s="0" t="n">
        <f aca="false">AB134*13</f>
        <v>299</v>
      </c>
      <c r="AK134" s="0" t="n">
        <f aca="false">AB134*14</f>
        <v>322</v>
      </c>
      <c r="AL134" s="0" t="n">
        <f aca="false">AB134*8</f>
        <v>184</v>
      </c>
      <c r="AM134" s="0" t="n">
        <f aca="false">AA134*24</f>
        <v>192</v>
      </c>
      <c r="AO134" s="68" t="n">
        <f aca="false">AI134/AH134</f>
        <v>0.494623655913979</v>
      </c>
      <c r="AP134" s="68" t="n">
        <f aca="false">AL134/AH134</f>
        <v>0.247311827956989</v>
      </c>
      <c r="AQ134" s="68" t="n">
        <f aca="false">1-(AO134+AP134)</f>
        <v>0.258064516129032</v>
      </c>
      <c r="AR134" s="48" t="n">
        <f aca="false">AQ134+AP134</f>
        <v>0.505376344086022</v>
      </c>
    </row>
    <row r="135" customFormat="false" ht="12.75" hidden="false" customHeight="false" outlineLevel="0" collapsed="false">
      <c r="A135" s="52" t="n">
        <v>40269</v>
      </c>
      <c r="B135" s="59" t="n">
        <v>27.25</v>
      </c>
      <c r="C135" s="59" t="n">
        <v>17.3542</v>
      </c>
      <c r="D135" s="60" t="n">
        <v>27.75</v>
      </c>
      <c r="E135" s="60" t="n">
        <v>20.8125</v>
      </c>
      <c r="F135" s="60" t="n">
        <f aca="false">((G135*AD135)-(B135*AE135))*(1/AF135)</f>
        <v>18.0822631578947</v>
      </c>
      <c r="G135" s="54" t="n">
        <f aca="false">((Z135*16*E135)+(B135*W135*16)+(X135*8*C135))/(X135*24)</f>
        <v>23.3791777777778</v>
      </c>
      <c r="H135" s="54" t="n">
        <f aca="false">(F135*AF135+B135*AE135)/AD135</f>
        <v>23.3791777777778</v>
      </c>
      <c r="I135" s="54" t="n">
        <f aca="false">B135*$C$5+F135*$C$6</f>
        <v>23.2161957894737</v>
      </c>
      <c r="K135" s="76" t="n">
        <v>3.5976307175743</v>
      </c>
      <c r="M135" s="71" t="n">
        <v>1.349191602953</v>
      </c>
      <c r="N135" s="71" t="n">
        <v>0.06378167069556</v>
      </c>
      <c r="O135" s="35" t="n">
        <f aca="false">1/((1+N135)^((A135-$B$2)/365))</f>
        <v>2.60721599887476</v>
      </c>
      <c r="Q135" s="54" t="n">
        <f aca="false">M135*B135</f>
        <v>36.7654711804693</v>
      </c>
      <c r="R135" s="54" t="n">
        <f aca="false">C135*M135</f>
        <v>23.414140915967</v>
      </c>
      <c r="S135" s="54" t="n">
        <f aca="false">M135*G135</f>
        <v>31.5429903417232</v>
      </c>
      <c r="T135" s="54" t="n">
        <f aca="false">F135*M135</f>
        <v>24.396437615018</v>
      </c>
      <c r="V135" s="56" t="n">
        <f aca="false">Z135+AC135</f>
        <v>4</v>
      </c>
      <c r="W135" s="56" t="n">
        <f aca="false">X135-V135</f>
        <v>26</v>
      </c>
      <c r="X135" s="85" t="n">
        <f aca="false">X123</f>
        <v>30</v>
      </c>
      <c r="Y135" s="77" t="n">
        <v>4</v>
      </c>
      <c r="Z135" s="77" t="n">
        <v>4</v>
      </c>
      <c r="AA135" s="85" t="n">
        <f aca="false">AA123</f>
        <v>9</v>
      </c>
      <c r="AB135" s="85" t="n">
        <f aca="false">AB123</f>
        <v>21</v>
      </c>
      <c r="AD135" s="0" t="n">
        <f aca="false">X135*24</f>
        <v>720</v>
      </c>
      <c r="AE135" s="0" t="n">
        <f aca="false">W135*16</f>
        <v>416</v>
      </c>
      <c r="AF135" s="0" t="n">
        <f aca="false">V135*24+W135*8</f>
        <v>304</v>
      </c>
      <c r="AH135" s="0" t="n">
        <f aca="false">X135*24</f>
        <v>720</v>
      </c>
      <c r="AI135" s="0" t="n">
        <f aca="false">AB135*16</f>
        <v>336</v>
      </c>
      <c r="AJ135" s="0" t="n">
        <f aca="false">AB135*13</f>
        <v>273</v>
      </c>
      <c r="AK135" s="0" t="n">
        <f aca="false">AB135*14</f>
        <v>294</v>
      </c>
      <c r="AL135" s="0" t="n">
        <f aca="false">AB135*8</f>
        <v>168</v>
      </c>
      <c r="AM135" s="0" t="n">
        <f aca="false">AA135*24</f>
        <v>216</v>
      </c>
      <c r="AO135" s="68" t="n">
        <f aca="false">AI135/AH135</f>
        <v>0.466666666666667</v>
      </c>
      <c r="AP135" s="68" t="n">
        <f aca="false">AL135/AH135</f>
        <v>0.233333333333333</v>
      </c>
      <c r="AQ135" s="68" t="n">
        <f aca="false">1-(AO135+AP135)</f>
        <v>0.3</v>
      </c>
      <c r="AR135" s="48" t="n">
        <f aca="false">AQ135+AP135</f>
        <v>0.533333333333333</v>
      </c>
    </row>
    <row r="136" customFormat="false" ht="12.75" hidden="false" customHeight="false" outlineLevel="0" collapsed="false">
      <c r="A136" s="52" t="n">
        <v>40299</v>
      </c>
      <c r="B136" s="59" t="n">
        <v>25.25</v>
      </c>
      <c r="C136" s="59" t="n">
        <v>7.79838709677419</v>
      </c>
      <c r="D136" s="60" t="n">
        <v>25</v>
      </c>
      <c r="E136" s="60" t="n">
        <v>18.75</v>
      </c>
      <c r="F136" s="60" t="n">
        <f aca="false">((G136*AD136)-(B136*AE136))*(1/AF136)</f>
        <v>9.98255813953488</v>
      </c>
      <c r="G136" s="54" t="n">
        <f aca="false">((Z136*16*E136)+(B136*W136*16)+(X136*8*C136))/(X136*24)</f>
        <v>18.1908602150538</v>
      </c>
      <c r="H136" s="54" t="n">
        <f aca="false">(F136*AF136+B136*AE136)/AD136</f>
        <v>18.1908602150538</v>
      </c>
      <c r="I136" s="54" t="n">
        <f aca="false">B136*$C$5+F136*$C$6</f>
        <v>18.5323255813953</v>
      </c>
      <c r="K136" s="76" t="n">
        <v>3.5718453554503</v>
      </c>
      <c r="M136" s="71" t="n">
        <v>1.348482819851</v>
      </c>
      <c r="N136" s="71" t="n">
        <v>0.063790434299027</v>
      </c>
      <c r="O136" s="35" t="n">
        <f aca="false">1/((1+N136)^((A136-$B$2)/365))</f>
        <v>2.594329379973</v>
      </c>
      <c r="Q136" s="54" t="n">
        <f aca="false">M136*B136</f>
        <v>34.0491912012378</v>
      </c>
      <c r="R136" s="54" t="n">
        <f aca="false">C136*M136</f>
        <v>10.5159910225477</v>
      </c>
      <c r="S136" s="54" t="n">
        <f aca="false">M136*G136</f>
        <v>24.5300624783111</v>
      </c>
      <c r="T136" s="54" t="n">
        <f aca="false">F136*M136</f>
        <v>13.4613081493266</v>
      </c>
      <c r="V136" s="56" t="n">
        <f aca="false">Z136+AC136</f>
        <v>6</v>
      </c>
      <c r="W136" s="56" t="n">
        <f aca="false">X136-V136</f>
        <v>25</v>
      </c>
      <c r="X136" s="85" t="n">
        <f aca="false">X124</f>
        <v>31</v>
      </c>
      <c r="Y136" s="77" t="n">
        <v>5</v>
      </c>
      <c r="Z136" s="77" t="n">
        <v>5</v>
      </c>
      <c r="AA136" s="85" t="n">
        <f aca="false">AA124</f>
        <v>9</v>
      </c>
      <c r="AB136" s="85" t="n">
        <f aca="false">AB124</f>
        <v>22</v>
      </c>
      <c r="AC136" s="0" t="n">
        <v>1</v>
      </c>
      <c r="AD136" s="0" t="n">
        <f aca="false">X136*24</f>
        <v>744</v>
      </c>
      <c r="AE136" s="0" t="n">
        <f aca="false">W136*16</f>
        <v>400</v>
      </c>
      <c r="AF136" s="0" t="n">
        <f aca="false">V136*24+W136*8</f>
        <v>344</v>
      </c>
      <c r="AH136" s="0" t="n">
        <f aca="false">X136*24</f>
        <v>744</v>
      </c>
      <c r="AI136" s="0" t="n">
        <f aca="false">AB136*16</f>
        <v>352</v>
      </c>
      <c r="AJ136" s="0" t="n">
        <f aca="false">AB136*13</f>
        <v>286</v>
      </c>
      <c r="AK136" s="0" t="n">
        <f aca="false">AB136*14</f>
        <v>308</v>
      </c>
      <c r="AL136" s="0" t="n">
        <f aca="false">AB136*8</f>
        <v>176</v>
      </c>
      <c r="AM136" s="0" t="n">
        <f aca="false">AA136*24</f>
        <v>216</v>
      </c>
      <c r="AO136" s="68" t="n">
        <f aca="false">AI136/AH136</f>
        <v>0.473118279569893</v>
      </c>
      <c r="AP136" s="68" t="n">
        <f aca="false">AL136/AH136</f>
        <v>0.236559139784946</v>
      </c>
      <c r="AQ136" s="68" t="n">
        <f aca="false">1-(AO136+AP136)</f>
        <v>0.290322580645161</v>
      </c>
      <c r="AR136" s="48" t="n">
        <f aca="false">AQ136+AP136</f>
        <v>0.526881720430108</v>
      </c>
    </row>
    <row r="137" customFormat="false" ht="12.75" hidden="false" customHeight="false" outlineLevel="0" collapsed="false">
      <c r="A137" s="52" t="n">
        <v>40330</v>
      </c>
      <c r="B137" s="59" t="n">
        <v>27.25</v>
      </c>
      <c r="C137" s="59" t="n">
        <v>8.5</v>
      </c>
      <c r="D137" s="60" t="n">
        <v>27</v>
      </c>
      <c r="E137" s="60" t="n">
        <v>20.25</v>
      </c>
      <c r="F137" s="60" t="n">
        <f aca="false">((G137*AD137)-(B137*AE137))*(1/AF137)</f>
        <v>10.9736842105263</v>
      </c>
      <c r="G137" s="54" t="n">
        <f aca="false">((Z137*16*E137)+(B137*W137*16)+(X137*8*C137))/(X137*24)</f>
        <v>20.3777777777778</v>
      </c>
      <c r="H137" s="54" t="n">
        <f aca="false">(F137*AF137+B137*AE137)/AD137</f>
        <v>20.3777777777778</v>
      </c>
      <c r="I137" s="54" t="n">
        <f aca="false">B137*$C$5+F137*$C$6</f>
        <v>20.0884210526316</v>
      </c>
      <c r="K137" s="76" t="n">
        <v>3.67813802553746</v>
      </c>
      <c r="M137" s="71" t="n">
        <v>1.347755977634</v>
      </c>
      <c r="N137" s="71" t="n">
        <v>0.063799490022638</v>
      </c>
      <c r="O137" s="35" t="n">
        <f aca="false">1/((1+N137)^((A137-$B$2)/365))</f>
        <v>2.58107644303225</v>
      </c>
      <c r="Q137" s="54" t="n">
        <f aca="false">M137*B137</f>
        <v>36.7263503905265</v>
      </c>
      <c r="R137" s="54" t="n">
        <f aca="false">C137*M137</f>
        <v>11.455925809889</v>
      </c>
      <c r="S137" s="54" t="n">
        <f aca="false">M137*G137</f>
        <v>27.4642718108973</v>
      </c>
      <c r="T137" s="54" t="n">
        <f aca="false">F137*M137</f>
        <v>14.7898484914047</v>
      </c>
      <c r="V137" s="56" t="n">
        <f aca="false">Z137+AC137</f>
        <v>4</v>
      </c>
      <c r="W137" s="56" t="n">
        <f aca="false">X137-V137</f>
        <v>26</v>
      </c>
      <c r="X137" s="85" t="n">
        <f aca="false">X125</f>
        <v>30</v>
      </c>
      <c r="Y137" s="77" t="n">
        <v>4</v>
      </c>
      <c r="Z137" s="77" t="n">
        <v>4</v>
      </c>
      <c r="AA137" s="85" t="n">
        <f aca="false">AA125</f>
        <v>8</v>
      </c>
      <c r="AB137" s="85" t="n">
        <f aca="false">AB125</f>
        <v>22</v>
      </c>
      <c r="AD137" s="0" t="n">
        <f aca="false">X137*24</f>
        <v>720</v>
      </c>
      <c r="AE137" s="0" t="n">
        <f aca="false">W137*16</f>
        <v>416</v>
      </c>
      <c r="AF137" s="0" t="n">
        <f aca="false">V137*24+W137*8</f>
        <v>304</v>
      </c>
      <c r="AH137" s="0" t="n">
        <f aca="false">X137*24</f>
        <v>720</v>
      </c>
      <c r="AI137" s="0" t="n">
        <f aca="false">AB137*16</f>
        <v>352</v>
      </c>
      <c r="AJ137" s="0" t="n">
        <f aca="false">AB137*13</f>
        <v>286</v>
      </c>
      <c r="AK137" s="0" t="n">
        <f aca="false">AB137*14</f>
        <v>308</v>
      </c>
      <c r="AL137" s="0" t="n">
        <f aca="false">AB137*8</f>
        <v>176</v>
      </c>
      <c r="AM137" s="0" t="n">
        <f aca="false">AA137*24</f>
        <v>192</v>
      </c>
      <c r="AO137" s="68" t="n">
        <f aca="false">AI137/AH137</f>
        <v>0.488888888888889</v>
      </c>
      <c r="AP137" s="68" t="n">
        <f aca="false">AL137/AH137</f>
        <v>0.244444444444444</v>
      </c>
      <c r="AQ137" s="68" t="n">
        <f aca="false">1-(AO137+AP137)</f>
        <v>0.266666666666667</v>
      </c>
      <c r="AR137" s="48" t="n">
        <f aca="false">AQ137+AP137</f>
        <v>0.511111111111111</v>
      </c>
    </row>
    <row r="138" customFormat="false" ht="12.75" hidden="false" customHeight="false" outlineLevel="0" collapsed="false">
      <c r="A138" s="52" t="n">
        <v>40360</v>
      </c>
      <c r="B138" s="59" t="n">
        <v>59.6375</v>
      </c>
      <c r="C138" s="59" t="n">
        <v>19.1774193548387</v>
      </c>
      <c r="D138" s="60" t="n">
        <v>58.275</v>
      </c>
      <c r="E138" s="60" t="n">
        <v>43.70625</v>
      </c>
      <c r="F138" s="60" t="n">
        <f aca="false">((G138*AD138)-(B138*AE138))*(1/AF138)</f>
        <v>23.0280487804878</v>
      </c>
      <c r="G138" s="54" t="n">
        <f aca="false">((Z138*16*E138)+(B138*W138*16)+(X138*8*C138))/(X138*24)</f>
        <v>43.4978494623656</v>
      </c>
      <c r="H138" s="54" t="n">
        <f aca="false">(F138*AF138+B138*AE138)/AD138</f>
        <v>43.4978494623656</v>
      </c>
      <c r="I138" s="54" t="n">
        <f aca="false">B138*$C$5+F138*$C$6</f>
        <v>43.5293414634146</v>
      </c>
      <c r="K138" s="76" t="n">
        <v>3.66266731732863</v>
      </c>
      <c r="M138" s="71" t="n">
        <v>1.347034905566</v>
      </c>
      <c r="N138" s="71" t="n">
        <v>0.063815267529874</v>
      </c>
      <c r="O138" s="35" t="n">
        <f aca="false">1/((1+N138)^((A138-$B$2)/365))</f>
        <v>2.56857018093404</v>
      </c>
      <c r="Q138" s="54" t="n">
        <f aca="false">M138*B138</f>
        <v>80.3337941806923</v>
      </c>
      <c r="R138" s="54" t="n">
        <f aca="false">C138*M138</f>
        <v>25.8326532696448</v>
      </c>
      <c r="S138" s="54" t="n">
        <f aca="false">M138*G138</f>
        <v>58.5931215428617</v>
      </c>
      <c r="T138" s="54" t="n">
        <f aca="false">F138*M138</f>
        <v>31.0195855143936</v>
      </c>
      <c r="V138" s="56" t="n">
        <f aca="false">Z138+AC138</f>
        <v>5</v>
      </c>
      <c r="W138" s="56" t="n">
        <f aca="false">X138-V138</f>
        <v>26</v>
      </c>
      <c r="X138" s="85" t="n">
        <f aca="false">X126</f>
        <v>31</v>
      </c>
      <c r="Y138" s="77" t="n">
        <v>5</v>
      </c>
      <c r="Z138" s="77" t="n">
        <v>4</v>
      </c>
      <c r="AA138" s="85" t="n">
        <f aca="false">AA126</f>
        <v>10</v>
      </c>
      <c r="AB138" s="85" t="n">
        <f aca="false">AB126</f>
        <v>21</v>
      </c>
      <c r="AC138" s="0" t="n">
        <v>1</v>
      </c>
      <c r="AD138" s="0" t="n">
        <f aca="false">X138*24</f>
        <v>744</v>
      </c>
      <c r="AE138" s="0" t="n">
        <f aca="false">W138*16</f>
        <v>416</v>
      </c>
      <c r="AF138" s="0" t="n">
        <f aca="false">V138*24+W138*8</f>
        <v>328</v>
      </c>
      <c r="AH138" s="0" t="n">
        <f aca="false">X138*24</f>
        <v>744</v>
      </c>
      <c r="AI138" s="0" t="n">
        <f aca="false">AB138*16</f>
        <v>336</v>
      </c>
      <c r="AJ138" s="0" t="n">
        <f aca="false">AB138*13</f>
        <v>273</v>
      </c>
      <c r="AK138" s="0" t="n">
        <f aca="false">AB138*14</f>
        <v>294</v>
      </c>
      <c r="AL138" s="0" t="n">
        <f aca="false">AB138*8</f>
        <v>168</v>
      </c>
      <c r="AM138" s="0" t="n">
        <f aca="false">AA138*24</f>
        <v>240</v>
      </c>
      <c r="AO138" s="68" t="n">
        <f aca="false">AI138/AH138</f>
        <v>0.451612903225806</v>
      </c>
      <c r="AP138" s="68" t="n">
        <f aca="false">AL138/AH138</f>
        <v>0.225806451612903</v>
      </c>
      <c r="AQ138" s="68" t="n">
        <f aca="false">1-(AO138+AP138)</f>
        <v>0.32258064516129</v>
      </c>
      <c r="AR138" s="48" t="n">
        <f aca="false">AQ138+AP138</f>
        <v>0.548387096774194</v>
      </c>
    </row>
    <row r="139" customFormat="false" ht="12.75" hidden="false" customHeight="false" outlineLevel="0" collapsed="false">
      <c r="A139" s="52" t="n">
        <v>40391</v>
      </c>
      <c r="B139" s="59" t="n">
        <v>72.6375</v>
      </c>
      <c r="C139" s="59" t="n">
        <v>21.4516129032258</v>
      </c>
      <c r="D139" s="60" t="n">
        <v>71.275</v>
      </c>
      <c r="E139" s="60" t="n">
        <v>50.5725</v>
      </c>
      <c r="F139" s="60" t="n">
        <f aca="false">((G139*AD139)-(B139*AE139))*(1/AF139)</f>
        <v>28.5542682926829</v>
      </c>
      <c r="G139" s="54" t="n">
        <f aca="false">((Z139*16*E139)+(B139*W139*16)+(X139*8*C139))/(X139*24)</f>
        <v>53.2029569892473</v>
      </c>
      <c r="H139" s="54" t="n">
        <f aca="false">(F139*AF139+B139*AE139)/AD139</f>
        <v>53.2029569892473</v>
      </c>
      <c r="I139" s="54" t="n">
        <f aca="false">B139*$C$5+F139*$C$6</f>
        <v>53.2408780487805</v>
      </c>
      <c r="K139" s="76" t="n">
        <v>3.65994438907805</v>
      </c>
      <c r="M139" s="71" t="n">
        <v>1.346276612644</v>
      </c>
      <c r="N139" s="71" t="n">
        <v>0.063837113313356</v>
      </c>
      <c r="O139" s="35" t="n">
        <f aca="false">1/((1+N139)^((A139-$B$2)/365))</f>
        <v>2.55590606332252</v>
      </c>
      <c r="Q139" s="54" t="n">
        <f aca="false">M139*B139</f>
        <v>97.7901674509286</v>
      </c>
      <c r="R139" s="54" t="n">
        <f aca="false">C139*M139</f>
        <v>28.8798047551052</v>
      </c>
      <c r="S139" s="54" t="n">
        <f aca="false">M139*G139</f>
        <v>71.6258967181283</v>
      </c>
      <c r="T139" s="54" t="n">
        <f aca="false">F139*M139</f>
        <v>38.4419435936011</v>
      </c>
      <c r="V139" s="56" t="n">
        <f aca="false">Z139+AC139</f>
        <v>5</v>
      </c>
      <c r="W139" s="56" t="n">
        <f aca="false">X139-V139</f>
        <v>26</v>
      </c>
      <c r="X139" s="85" t="n">
        <f aca="false">X127</f>
        <v>31</v>
      </c>
      <c r="Y139" s="77" t="n">
        <v>4</v>
      </c>
      <c r="Z139" s="77" t="n">
        <v>5</v>
      </c>
      <c r="AA139" s="85" t="n">
        <f aca="false">AA127</f>
        <v>8</v>
      </c>
      <c r="AB139" s="85" t="n">
        <f aca="false">AB127</f>
        <v>23</v>
      </c>
      <c r="AD139" s="0" t="n">
        <f aca="false">X139*24</f>
        <v>744</v>
      </c>
      <c r="AE139" s="0" t="n">
        <f aca="false">W139*16</f>
        <v>416</v>
      </c>
      <c r="AF139" s="0" t="n">
        <f aca="false">V139*24+W139*8</f>
        <v>328</v>
      </c>
      <c r="AH139" s="0" t="n">
        <f aca="false">X139*24</f>
        <v>744</v>
      </c>
      <c r="AI139" s="0" t="n">
        <f aca="false">AB139*16</f>
        <v>368</v>
      </c>
      <c r="AJ139" s="0" t="n">
        <f aca="false">AB139*13</f>
        <v>299</v>
      </c>
      <c r="AK139" s="0" t="n">
        <f aca="false">AB139*14</f>
        <v>322</v>
      </c>
      <c r="AL139" s="0" t="n">
        <f aca="false">AB139*8</f>
        <v>184</v>
      </c>
      <c r="AM139" s="0" t="n">
        <f aca="false">AA139*24</f>
        <v>192</v>
      </c>
      <c r="AO139" s="68" t="n">
        <f aca="false">AI139/AH139</f>
        <v>0.494623655913979</v>
      </c>
      <c r="AP139" s="68" t="n">
        <f aca="false">AL139/AH139</f>
        <v>0.247311827956989</v>
      </c>
      <c r="AQ139" s="68" t="n">
        <f aca="false">1-(AO139+AP139)</f>
        <v>0.258064516129032</v>
      </c>
      <c r="AR139" s="48" t="n">
        <f aca="false">AQ139+AP139</f>
        <v>0.505376344086022</v>
      </c>
    </row>
    <row r="140" customFormat="false" ht="12.75" hidden="false" customHeight="false" outlineLevel="0" collapsed="false">
      <c r="A140" s="52" t="n">
        <v>40422</v>
      </c>
      <c r="B140" s="59" t="n">
        <v>65</v>
      </c>
      <c r="C140" s="59" t="n">
        <v>20.075</v>
      </c>
      <c r="D140" s="60" t="n">
        <v>64.25</v>
      </c>
      <c r="E140" s="60" t="n">
        <v>47.338125</v>
      </c>
      <c r="F140" s="60" t="n">
        <f aca="false">((G140*AD140)-(B140*AE140))*(1/AF140)</f>
        <v>24.523875</v>
      </c>
      <c r="G140" s="54" t="n">
        <f aca="false">((Z140*16*E140)+(B140*W140*16)+(X140*8*C140))/(X140*24)</f>
        <v>47.0106111111111</v>
      </c>
      <c r="H140" s="54" t="n">
        <f aca="false">(F140*AF140+B140*AE140)/AD140</f>
        <v>47.0106111111111</v>
      </c>
      <c r="I140" s="54" t="n">
        <f aca="false">B140*$C$5+F140*$C$6</f>
        <v>47.190505</v>
      </c>
      <c r="K140" s="76" t="n">
        <v>3.64187708091974</v>
      </c>
      <c r="M140" s="71" t="n">
        <v>1.345523285365</v>
      </c>
      <c r="N140" s="71" t="n">
        <v>0.063858959097</v>
      </c>
      <c r="O140" s="35" t="n">
        <f aca="false">1/((1+N140)^((A140-$B$2)/365))</f>
        <v>2.54329549747903</v>
      </c>
      <c r="Q140" s="54" t="n">
        <f aca="false">M140*B140</f>
        <v>87.459013548725</v>
      </c>
      <c r="R140" s="54" t="n">
        <f aca="false">C140*M140</f>
        <v>27.0113799537024</v>
      </c>
      <c r="S140" s="54" t="n">
        <f aca="false">M140*G140</f>
        <v>63.2538719092386</v>
      </c>
      <c r="T140" s="54" t="n">
        <f aca="false">F140*M140</f>
        <v>32.9974448598806</v>
      </c>
      <c r="V140" s="56" t="n">
        <f aca="false">Z140+AC140</f>
        <v>5</v>
      </c>
      <c r="W140" s="56" t="n">
        <f aca="false">X140-V140</f>
        <v>25</v>
      </c>
      <c r="X140" s="85" t="n">
        <f aca="false">X128</f>
        <v>30</v>
      </c>
      <c r="Y140" s="77" t="n">
        <v>4</v>
      </c>
      <c r="Z140" s="77" t="n">
        <v>4</v>
      </c>
      <c r="AA140" s="85" t="n">
        <f aca="false">AA128</f>
        <v>8</v>
      </c>
      <c r="AB140" s="85" t="n">
        <f aca="false">AB128</f>
        <v>22</v>
      </c>
      <c r="AC140" s="0" t="n">
        <v>1</v>
      </c>
      <c r="AD140" s="0" t="n">
        <f aca="false">X140*24</f>
        <v>720</v>
      </c>
      <c r="AE140" s="0" t="n">
        <f aca="false">W140*16</f>
        <v>400</v>
      </c>
      <c r="AF140" s="0" t="n">
        <f aca="false">V140*24+W140*8</f>
        <v>320</v>
      </c>
      <c r="AH140" s="0" t="n">
        <f aca="false">X140*24</f>
        <v>720</v>
      </c>
      <c r="AI140" s="0" t="n">
        <f aca="false">AB140*16</f>
        <v>352</v>
      </c>
      <c r="AJ140" s="0" t="n">
        <f aca="false">AB140*13</f>
        <v>286</v>
      </c>
      <c r="AK140" s="0" t="n">
        <f aca="false">AB140*14</f>
        <v>308</v>
      </c>
      <c r="AL140" s="0" t="n">
        <f aca="false">AB140*8</f>
        <v>176</v>
      </c>
      <c r="AM140" s="0" t="n">
        <f aca="false">AA140*24</f>
        <v>192</v>
      </c>
      <c r="AO140" s="68" t="n">
        <f aca="false">AI140/AH140</f>
        <v>0.488888888888889</v>
      </c>
      <c r="AP140" s="68" t="n">
        <f aca="false">AL140/AH140</f>
        <v>0.244444444444444</v>
      </c>
      <c r="AQ140" s="68" t="n">
        <f aca="false">1-(AO140+AP140)</f>
        <v>0.266666666666667</v>
      </c>
      <c r="AR140" s="48" t="n">
        <f aca="false">AQ140+AP140</f>
        <v>0.511111111111111</v>
      </c>
    </row>
    <row r="141" customFormat="false" ht="12.75" hidden="false" customHeight="false" outlineLevel="0" collapsed="false">
      <c r="A141" s="52" t="n">
        <v>40452</v>
      </c>
      <c r="B141" s="59" t="n">
        <v>38.75</v>
      </c>
      <c r="C141" s="59" t="n">
        <v>26.7983870967742</v>
      </c>
      <c r="D141" s="60" t="n">
        <v>37.25</v>
      </c>
      <c r="E141" s="60" t="n">
        <v>30.838125</v>
      </c>
      <c r="F141" s="60" t="n">
        <f aca="false">((G141*AD141)-(B141*AE141))*(1/AF141)</f>
        <v>27.7836890243902</v>
      </c>
      <c r="G141" s="54" t="n">
        <f aca="false">((Z141*16*E141)+(B141*W141*16)+(X141*8*C141))/(X141*24)</f>
        <v>33.9153897849462</v>
      </c>
      <c r="H141" s="54" t="n">
        <f aca="false">(F141*AF141+B141*AE141)/AD141</f>
        <v>33.9153897849462</v>
      </c>
      <c r="I141" s="54" t="n">
        <f aca="false">B141*$C$5+F141*$C$6</f>
        <v>33.9248231707317</v>
      </c>
      <c r="K141" s="76" t="n">
        <v>3.65589834237216</v>
      </c>
      <c r="M141" s="71" t="n">
        <v>1.344798979446</v>
      </c>
      <c r="N141" s="71" t="n">
        <v>0.06388010017809</v>
      </c>
      <c r="O141" s="35" t="n">
        <f aca="false">1/((1+N141)^((A141-$B$2)/365))</f>
        <v>2.53114254669523</v>
      </c>
      <c r="Q141" s="54" t="n">
        <f aca="false">M141*B141</f>
        <v>52.1109604535325</v>
      </c>
      <c r="R141" s="54" t="n">
        <f aca="false">C141*M141</f>
        <v>36.0384436185408</v>
      </c>
      <c r="S141" s="54" t="n">
        <f aca="false">M141*G141</f>
        <v>45.609381570309</v>
      </c>
      <c r="T141" s="54" t="n">
        <f aca="false">F141*M141</f>
        <v>37.363476645245</v>
      </c>
      <c r="V141" s="56" t="n">
        <f aca="false">Z141+AC141</f>
        <v>5</v>
      </c>
      <c r="W141" s="56" t="n">
        <f aca="false">X141-V141</f>
        <v>26</v>
      </c>
      <c r="X141" s="85" t="n">
        <f aca="false">X129</f>
        <v>31</v>
      </c>
      <c r="Y141" s="77" t="n">
        <v>5</v>
      </c>
      <c r="Z141" s="77" t="n">
        <v>5</v>
      </c>
      <c r="AA141" s="85" t="n">
        <f aca="false">AA129</f>
        <v>10</v>
      </c>
      <c r="AB141" s="85" t="n">
        <f aca="false">AB129</f>
        <v>21</v>
      </c>
      <c r="AD141" s="0" t="n">
        <f aca="false">X141*24</f>
        <v>744</v>
      </c>
      <c r="AE141" s="0" t="n">
        <f aca="false">W141*16</f>
        <v>416</v>
      </c>
      <c r="AF141" s="0" t="n">
        <f aca="false">V141*24+W141*8</f>
        <v>328</v>
      </c>
      <c r="AH141" s="0" t="n">
        <f aca="false">X141*24</f>
        <v>744</v>
      </c>
      <c r="AI141" s="0" t="n">
        <f aca="false">AB141*16</f>
        <v>336</v>
      </c>
      <c r="AJ141" s="0" t="n">
        <f aca="false">AB141*13</f>
        <v>273</v>
      </c>
      <c r="AK141" s="0" t="n">
        <f aca="false">AB141*14</f>
        <v>294</v>
      </c>
      <c r="AL141" s="0" t="n">
        <f aca="false">AB141*8</f>
        <v>168</v>
      </c>
      <c r="AM141" s="0" t="n">
        <f aca="false">AA141*24</f>
        <v>240</v>
      </c>
      <c r="AO141" s="68" t="n">
        <f aca="false">AI141/AH141</f>
        <v>0.451612903225806</v>
      </c>
      <c r="AP141" s="68" t="n">
        <f aca="false">AL141/AH141</f>
        <v>0.225806451612903</v>
      </c>
      <c r="AQ141" s="68" t="n">
        <f aca="false">1-(AO141+AP141)</f>
        <v>0.32258064516129</v>
      </c>
      <c r="AR141" s="48" t="n">
        <f aca="false">AQ141+AP141</f>
        <v>0.548387096774194</v>
      </c>
    </row>
    <row r="142" customFormat="false" ht="12.75" hidden="false" customHeight="false" outlineLevel="0" collapsed="false">
      <c r="A142" s="52" t="n">
        <v>40483</v>
      </c>
      <c r="B142" s="59" t="n">
        <v>37.5</v>
      </c>
      <c r="C142" s="59" t="n">
        <v>27.3125</v>
      </c>
      <c r="D142" s="60" t="n">
        <v>34.25</v>
      </c>
      <c r="E142" s="60" t="n">
        <v>29.900625</v>
      </c>
      <c r="F142" s="60" t="n">
        <f aca="false">((G142*AD142)-(B142*AE142))*(1/AF142)</f>
        <v>26.4645</v>
      </c>
      <c r="G142" s="54" t="n">
        <f aca="false">((Z142*16*E142)+(B142*W142*16)+(X142*8*C142))/(X142*24)</f>
        <v>32.5953333333333</v>
      </c>
      <c r="H142" s="54" t="n">
        <f aca="false">(F142*AF142+B142*AE142)/AD142</f>
        <v>32.5953333333333</v>
      </c>
      <c r="I142" s="54" t="n">
        <f aca="false">B142*$C$5+F142*$C$6</f>
        <v>32.64438</v>
      </c>
      <c r="K142" s="76" t="n">
        <v>3.75798718375081</v>
      </c>
      <c r="M142" s="71" t="n">
        <v>1.344055400153</v>
      </c>
      <c r="N142" s="71" t="n">
        <v>0.063901945962043</v>
      </c>
      <c r="O142" s="35" t="n">
        <f aca="false">1/((1+N142)^((A142-$B$2)/365))</f>
        <v>2.51863684321933</v>
      </c>
      <c r="Q142" s="54" t="n">
        <f aca="false">M142*B142</f>
        <v>50.4020775057375</v>
      </c>
      <c r="R142" s="54" t="n">
        <f aca="false">C142*M142</f>
        <v>36.7095131166788</v>
      </c>
      <c r="S142" s="54" t="n">
        <f aca="false">M142*G142</f>
        <v>43.8099337864538</v>
      </c>
      <c r="T142" s="54" t="n">
        <f aca="false">F142*M142</f>
        <v>35.5697541373491</v>
      </c>
      <c r="V142" s="56" t="n">
        <f aca="false">Z142+AC142</f>
        <v>5</v>
      </c>
      <c r="W142" s="56" t="n">
        <f aca="false">X142-V142</f>
        <v>25</v>
      </c>
      <c r="X142" s="85" t="n">
        <f aca="false">X130</f>
        <v>30</v>
      </c>
      <c r="Y142" s="77" t="n">
        <v>4</v>
      </c>
      <c r="Z142" s="77" t="n">
        <v>4</v>
      </c>
      <c r="AA142" s="85" t="n">
        <f aca="false">AA130</f>
        <v>8</v>
      </c>
      <c r="AB142" s="85" t="n">
        <f aca="false">AB130</f>
        <v>22</v>
      </c>
      <c r="AC142" s="0" t="n">
        <v>1</v>
      </c>
      <c r="AD142" s="0" t="n">
        <f aca="false">X142*24</f>
        <v>720</v>
      </c>
      <c r="AE142" s="0" t="n">
        <f aca="false">W142*16</f>
        <v>400</v>
      </c>
      <c r="AF142" s="0" t="n">
        <f aca="false">V142*24+W142*8</f>
        <v>320</v>
      </c>
      <c r="AH142" s="0" t="n">
        <f aca="false">X142*24</f>
        <v>720</v>
      </c>
      <c r="AI142" s="0" t="n">
        <f aca="false">AB142*16</f>
        <v>352</v>
      </c>
      <c r="AJ142" s="0" t="n">
        <f aca="false">AB142*13</f>
        <v>286</v>
      </c>
      <c r="AK142" s="0" t="n">
        <f aca="false">AB142*14</f>
        <v>308</v>
      </c>
      <c r="AL142" s="0" t="n">
        <f aca="false">AB142*8</f>
        <v>176</v>
      </c>
      <c r="AM142" s="0" t="n">
        <f aca="false">AA142*24</f>
        <v>192</v>
      </c>
      <c r="AO142" s="68" t="n">
        <f aca="false">AI142/AH142</f>
        <v>0.488888888888889</v>
      </c>
      <c r="AP142" s="68" t="n">
        <f aca="false">AL142/AH142</f>
        <v>0.244444444444444</v>
      </c>
      <c r="AQ142" s="68" t="n">
        <f aca="false">1-(AO142+AP142)</f>
        <v>0.266666666666667</v>
      </c>
      <c r="AR142" s="48" t="n">
        <f aca="false">AQ142+AP142</f>
        <v>0.511111111111111</v>
      </c>
    </row>
    <row r="143" customFormat="false" ht="12.75" hidden="false" customHeight="false" outlineLevel="0" collapsed="false">
      <c r="A143" s="52" t="n">
        <v>40513</v>
      </c>
      <c r="B143" s="59" t="n">
        <v>37.5</v>
      </c>
      <c r="C143" s="59" t="n">
        <v>26.5887096774194</v>
      </c>
      <c r="D143" s="60" t="n">
        <v>33.75</v>
      </c>
      <c r="E143" s="60" t="n">
        <v>30.088125</v>
      </c>
      <c r="F143" s="60" t="n">
        <f aca="false">((G143*AD143)-(B143*AE143))*(1/AF143)</f>
        <v>25.974512195122</v>
      </c>
      <c r="G143" s="54" t="n">
        <f aca="false">((Z143*16*E143)+(B143*W143*16)+(X143*8*C143))/(X143*24)</f>
        <v>32.4188709677419</v>
      </c>
      <c r="H143" s="54" t="n">
        <f aca="false">(F143*AF143+B143*AE143)/AD143</f>
        <v>32.4188709677419</v>
      </c>
      <c r="I143" s="54" t="n">
        <f aca="false">B143*$C$5+F143*$C$6</f>
        <v>32.4287853658537</v>
      </c>
      <c r="K143" s="76" t="n">
        <v>3.87151684349195</v>
      </c>
      <c r="M143" s="71" t="n">
        <v>1.343340513051</v>
      </c>
      <c r="N143" s="71" t="n">
        <v>0.063923087043438</v>
      </c>
      <c r="O143" s="35" t="n">
        <f aca="false">1/((1+N143)^((A143-$B$2)/365))</f>
        <v>2.50658504319516</v>
      </c>
      <c r="Q143" s="54" t="n">
        <f aca="false">M143*B143</f>
        <v>50.3752692394125</v>
      </c>
      <c r="R143" s="54" t="n">
        <f aca="false">C143*M143</f>
        <v>35.7176908994286</v>
      </c>
      <c r="S143" s="54" t="n">
        <f aca="false">M143*G143</f>
        <v>43.5495827583406</v>
      </c>
      <c r="T143" s="54" t="n">
        <f aca="false">F143*M143</f>
        <v>34.8926145384446</v>
      </c>
      <c r="V143" s="56" t="n">
        <f aca="false">Z143+AC143</f>
        <v>5</v>
      </c>
      <c r="W143" s="56" t="n">
        <f aca="false">X143-V143</f>
        <v>26</v>
      </c>
      <c r="X143" s="85" t="n">
        <f aca="false">X131</f>
        <v>31</v>
      </c>
      <c r="Y143" s="77" t="n">
        <v>4</v>
      </c>
      <c r="Z143" s="77" t="n">
        <v>4</v>
      </c>
      <c r="AA143" s="85" t="n">
        <f aca="false">AA131</f>
        <v>9</v>
      </c>
      <c r="AB143" s="85" t="n">
        <f aca="false">AB131</f>
        <v>22</v>
      </c>
      <c r="AC143" s="0" t="n">
        <v>1</v>
      </c>
      <c r="AD143" s="0" t="n">
        <f aca="false">X143*24</f>
        <v>744</v>
      </c>
      <c r="AE143" s="0" t="n">
        <f aca="false">W143*16</f>
        <v>416</v>
      </c>
      <c r="AF143" s="0" t="n">
        <f aca="false">V143*24+W143*8</f>
        <v>328</v>
      </c>
      <c r="AH143" s="0" t="n">
        <f aca="false">X143*24</f>
        <v>744</v>
      </c>
      <c r="AI143" s="0" t="n">
        <f aca="false">AB143*16</f>
        <v>352</v>
      </c>
      <c r="AJ143" s="0" t="n">
        <f aca="false">AB143*13</f>
        <v>286</v>
      </c>
      <c r="AK143" s="0" t="n">
        <f aca="false">AB143*14</f>
        <v>308</v>
      </c>
      <c r="AL143" s="0" t="n">
        <f aca="false">AB143*8</f>
        <v>176</v>
      </c>
      <c r="AM143" s="0" t="n">
        <f aca="false">AA143*24</f>
        <v>216</v>
      </c>
      <c r="AO143" s="68" t="n">
        <f aca="false">AI143/AH143</f>
        <v>0.473118279569893</v>
      </c>
      <c r="AP143" s="68" t="n">
        <f aca="false">AL143/AH143</f>
        <v>0.236559139784946</v>
      </c>
      <c r="AQ143" s="68" t="n">
        <f aca="false">1-(AO143+AP143)</f>
        <v>0.290322580645161</v>
      </c>
      <c r="AR143" s="48" t="n">
        <f aca="false">AQ143+AP143</f>
        <v>0.526881720430108</v>
      </c>
    </row>
    <row r="144" customFormat="false" ht="12.75" hidden="false" customHeight="false" outlineLevel="0" collapsed="false">
      <c r="A144" s="52" t="n">
        <v>40544</v>
      </c>
      <c r="B144" s="59" t="n">
        <v>33.35</v>
      </c>
      <c r="C144" s="59" t="n">
        <v>27.8846774193548</v>
      </c>
      <c r="D144" s="60" t="n">
        <v>35.9</v>
      </c>
      <c r="E144" s="60" t="n">
        <v>26.925</v>
      </c>
      <c r="F144" s="60" t="n">
        <f aca="false">((G144*AD144)-(B144*AE144))*(1/AF144)</f>
        <v>26.3645348837209</v>
      </c>
      <c r="G144" s="54" t="n">
        <f aca="false">((Z144*16*E144)+(B144*W144*16)+(X144*8*C144))/(X144*24)</f>
        <v>30.1201612903226</v>
      </c>
      <c r="H144" s="54" t="n">
        <f aca="false">(F144*AF144+B144*AE144)/AD144</f>
        <v>30.1201612903226</v>
      </c>
      <c r="I144" s="54" t="n">
        <f aca="false">B144*$C$5+F144*$C$6</f>
        <v>30.2763953488372</v>
      </c>
      <c r="K144" s="76" t="n">
        <v>4.1277058820791</v>
      </c>
      <c r="M144" s="71" t="n">
        <v>1.342606651432</v>
      </c>
      <c r="N144" s="71" t="n">
        <v>0.063944932827701</v>
      </c>
      <c r="O144" s="35" t="n">
        <f aca="false">1/((1+N144)^((A144-$B$2)/365))</f>
        <v>2.49418352284436</v>
      </c>
      <c r="Q144" s="54" t="n">
        <f aca="false">M144*B144</f>
        <v>44.7759318252572</v>
      </c>
      <c r="R144" s="54" t="n">
        <f aca="false">C144*M144</f>
        <v>37.4381533762615</v>
      </c>
      <c r="S144" s="54" t="n">
        <f aca="false">M144*G144</f>
        <v>40.4395288905918</v>
      </c>
      <c r="T144" s="54" t="n">
        <f aca="false">F144*M144</f>
        <v>35.3971998967947</v>
      </c>
      <c r="V144" s="56" t="n">
        <f aca="false">Z144+AC144</f>
        <v>6</v>
      </c>
      <c r="W144" s="56" t="n">
        <f aca="false">X144-V144</f>
        <v>25</v>
      </c>
      <c r="X144" s="85" t="n">
        <f aca="false">X132</f>
        <v>31</v>
      </c>
      <c r="Y144" s="78" t="n">
        <v>5</v>
      </c>
      <c r="Z144" s="78" t="n">
        <v>5</v>
      </c>
      <c r="AA144" s="85" t="n">
        <f aca="false">AA132</f>
        <v>10</v>
      </c>
      <c r="AB144" s="85" t="n">
        <f aca="false">AB132</f>
        <v>21</v>
      </c>
      <c r="AC144" s="0" t="n">
        <v>1</v>
      </c>
      <c r="AD144" s="0" t="n">
        <f aca="false">X144*24</f>
        <v>744</v>
      </c>
      <c r="AE144" s="0" t="n">
        <f aca="false">W144*16</f>
        <v>400</v>
      </c>
      <c r="AF144" s="0" t="n">
        <f aca="false">V144*24+W144*8</f>
        <v>344</v>
      </c>
      <c r="AH144" s="0" t="n">
        <f aca="false">X144*24</f>
        <v>744</v>
      </c>
      <c r="AI144" s="0" t="n">
        <f aca="false">AB144*16</f>
        <v>336</v>
      </c>
      <c r="AJ144" s="0" t="n">
        <f aca="false">AB144*13</f>
        <v>273</v>
      </c>
      <c r="AK144" s="0" t="n">
        <f aca="false">AB144*14</f>
        <v>294</v>
      </c>
      <c r="AL144" s="0" t="n">
        <f aca="false">AB144*8</f>
        <v>168</v>
      </c>
      <c r="AM144" s="0" t="n">
        <f aca="false">AA144*24</f>
        <v>240</v>
      </c>
      <c r="AO144" s="68" t="n">
        <f aca="false">AI144/AH144</f>
        <v>0.451612903225806</v>
      </c>
      <c r="AP144" s="68" t="n">
        <f aca="false">AL144/AH144</f>
        <v>0.225806451612903</v>
      </c>
      <c r="AQ144" s="68" t="n">
        <f aca="false">1-(AO144+AP144)</f>
        <v>0.32258064516129</v>
      </c>
      <c r="AR144" s="48" t="n">
        <f aca="false">AQ144+AP144</f>
        <v>0.548387096774194</v>
      </c>
    </row>
    <row r="145" customFormat="false" ht="12.75" hidden="false" customHeight="false" outlineLevel="0" collapsed="false">
      <c r="A145" s="52" t="n">
        <v>40575</v>
      </c>
      <c r="B145" s="59" t="n">
        <v>31.85</v>
      </c>
      <c r="C145" s="59" t="n">
        <v>26.8535714285714</v>
      </c>
      <c r="D145" s="60" t="n">
        <v>34.9</v>
      </c>
      <c r="E145" s="60" t="n">
        <v>26.175</v>
      </c>
      <c r="F145" s="60" t="n">
        <f aca="false">((G145*AD145)-(B145*AE145))*(1/AF145)</f>
        <v>26.7027777777778</v>
      </c>
      <c r="G145" s="54" t="n">
        <f aca="false">((Z145*16*E145)+(B145*W145*16)+(X145*8*C145))/(X145*24)</f>
        <v>29.6440476190476</v>
      </c>
      <c r="H145" s="54" t="n">
        <f aca="false">(F145*AF145+B145*AE145)/AD145</f>
        <v>29.6440476190476</v>
      </c>
      <c r="I145" s="54" t="n">
        <f aca="false">B145*$C$5+F145*$C$6</f>
        <v>29.5852222222222</v>
      </c>
      <c r="K145" s="76" t="n">
        <v>4.00357273290591</v>
      </c>
      <c r="M145" s="71" t="n">
        <v>1.341877716821</v>
      </c>
      <c r="N145" s="71" t="n">
        <v>0.063966778612123</v>
      </c>
      <c r="O145" s="35" t="n">
        <f aca="false">1/((1+N145)^((A145-$B$2)/365))</f>
        <v>2.48183468846347</v>
      </c>
      <c r="Q145" s="54" t="n">
        <f aca="false">M145*B145</f>
        <v>42.7388052807489</v>
      </c>
      <c r="R145" s="54" t="n">
        <f aca="false">C145*M145</f>
        <v>36.0342091170611</v>
      </c>
      <c r="S145" s="54" t="n">
        <f aca="false">M145*G145</f>
        <v>39.7786869363806</v>
      </c>
      <c r="T145" s="54" t="n">
        <f aca="false">F145*M145</f>
        <v>35.831862477223</v>
      </c>
      <c r="V145" s="56" t="n">
        <f aca="false">Z145+AC145</f>
        <v>4</v>
      </c>
      <c r="W145" s="56" t="n">
        <f aca="false">X145-V145</f>
        <v>24</v>
      </c>
      <c r="X145" s="85" t="n">
        <f aca="false">X133</f>
        <v>28</v>
      </c>
      <c r="Y145" s="77" t="n">
        <v>4</v>
      </c>
      <c r="Z145" s="77" t="n">
        <v>4</v>
      </c>
      <c r="AA145" s="85" t="n">
        <f aca="false">AA133</f>
        <v>8</v>
      </c>
      <c r="AB145" s="85" t="n">
        <f aca="false">AB133</f>
        <v>20</v>
      </c>
      <c r="AD145" s="0" t="n">
        <f aca="false">X145*24</f>
        <v>672</v>
      </c>
      <c r="AE145" s="0" t="n">
        <f aca="false">W145*16</f>
        <v>384</v>
      </c>
      <c r="AF145" s="0" t="n">
        <f aca="false">V145*24+W145*8</f>
        <v>288</v>
      </c>
      <c r="AH145" s="0" t="n">
        <f aca="false">X145*24</f>
        <v>672</v>
      </c>
      <c r="AI145" s="0" t="n">
        <f aca="false">AB145*16</f>
        <v>320</v>
      </c>
      <c r="AJ145" s="0" t="n">
        <f aca="false">AB145*13</f>
        <v>260</v>
      </c>
      <c r="AK145" s="0" t="n">
        <f aca="false">AB145*14</f>
        <v>280</v>
      </c>
      <c r="AL145" s="0" t="n">
        <f aca="false">AB145*8</f>
        <v>160</v>
      </c>
      <c r="AM145" s="0" t="n">
        <f aca="false">AA145*24</f>
        <v>192</v>
      </c>
      <c r="AO145" s="68" t="n">
        <f aca="false">AI145/AH145</f>
        <v>0.476190476190476</v>
      </c>
      <c r="AP145" s="68" t="n">
        <f aca="false">AL145/AH145</f>
        <v>0.238095238095238</v>
      </c>
      <c r="AQ145" s="68" t="n">
        <f aca="false">1-(AO145+AP145)</f>
        <v>0.285714285714286</v>
      </c>
      <c r="AR145" s="48" t="n">
        <f aca="false">AQ145+AP145</f>
        <v>0.523809523809524</v>
      </c>
    </row>
    <row r="146" customFormat="false" ht="12.75" hidden="false" customHeight="false" outlineLevel="0" collapsed="false">
      <c r="A146" s="52" t="n">
        <v>40603</v>
      </c>
      <c r="B146" s="59" t="n">
        <v>30.1</v>
      </c>
      <c r="C146" s="59" t="n">
        <v>23.3806451612903</v>
      </c>
      <c r="D146" s="60" t="n">
        <v>32.8675</v>
      </c>
      <c r="E146" s="60" t="n">
        <v>24.650625</v>
      </c>
      <c r="F146" s="60" t="n">
        <f aca="false">((G146*AD146)-(B146*AE146))*(1/AF146)</f>
        <v>23.6411538461539</v>
      </c>
      <c r="G146" s="54" t="n">
        <f aca="false">((Z146*16*E146)+(B146*W146*16)+(X146*8*C146))/(X146*24)</f>
        <v>27.3914516129032</v>
      </c>
      <c r="H146" s="54" t="n">
        <f aca="false">(F146*AF146+B146*AE146)/AD146</f>
        <v>27.3914516129032</v>
      </c>
      <c r="I146" s="54" t="n">
        <f aca="false">B146*$C$5+F146*$C$6</f>
        <v>27.2581076923077</v>
      </c>
      <c r="K146" s="76" t="n">
        <v>3.84040045023407</v>
      </c>
      <c r="M146" s="71" t="n">
        <v>1.341223552757</v>
      </c>
      <c r="N146" s="71" t="n">
        <v>0.063986510288512</v>
      </c>
      <c r="O146" s="35" t="n">
        <f aca="false">1/((1+N146)^((A146-$B$2)/365))</f>
        <v>2.47072604212681</v>
      </c>
      <c r="Q146" s="54" t="n">
        <f aca="false">M146*B146</f>
        <v>40.3708289379857</v>
      </c>
      <c r="R146" s="54" t="n">
        <f aca="false">C146*M146</f>
        <v>31.3586719689766</v>
      </c>
      <c r="S146" s="54" t="n">
        <f aca="false">M146*G146</f>
        <v>36.7380600474295</v>
      </c>
      <c r="T146" s="54" t="n">
        <f aca="false">F146*M146</f>
        <v>31.7080723528133</v>
      </c>
      <c r="V146" s="56" t="n">
        <f aca="false">Z146+AC146</f>
        <v>4</v>
      </c>
      <c r="W146" s="56" t="n">
        <f aca="false">X146-V146</f>
        <v>27</v>
      </c>
      <c r="X146" s="85" t="n">
        <f aca="false">X134</f>
        <v>31</v>
      </c>
      <c r="Y146" s="77" t="n">
        <v>4</v>
      </c>
      <c r="Z146" s="77" t="n">
        <v>4</v>
      </c>
      <c r="AA146" s="85" t="n">
        <f aca="false">AA134</f>
        <v>8</v>
      </c>
      <c r="AB146" s="85" t="n">
        <f aca="false">AB134</f>
        <v>23</v>
      </c>
      <c r="AD146" s="0" t="n">
        <f aca="false">X146*24</f>
        <v>744</v>
      </c>
      <c r="AE146" s="0" t="n">
        <f aca="false">W146*16</f>
        <v>432</v>
      </c>
      <c r="AF146" s="0" t="n">
        <f aca="false">V146*24+W146*8</f>
        <v>312</v>
      </c>
      <c r="AH146" s="0" t="n">
        <f aca="false">X146*24</f>
        <v>744</v>
      </c>
      <c r="AI146" s="0" t="n">
        <f aca="false">AB146*16</f>
        <v>368</v>
      </c>
      <c r="AJ146" s="0" t="n">
        <f aca="false">AB146*13</f>
        <v>299</v>
      </c>
      <c r="AK146" s="0" t="n">
        <f aca="false">AB146*14</f>
        <v>322</v>
      </c>
      <c r="AL146" s="0" t="n">
        <f aca="false">AB146*8</f>
        <v>184</v>
      </c>
      <c r="AM146" s="0" t="n">
        <f aca="false">AA146*24</f>
        <v>192</v>
      </c>
      <c r="AO146" s="68" t="n">
        <f aca="false">AI146/AH146</f>
        <v>0.494623655913979</v>
      </c>
      <c r="AP146" s="68" t="n">
        <f aca="false">AL146/AH146</f>
        <v>0.247311827956989</v>
      </c>
      <c r="AQ146" s="68" t="n">
        <f aca="false">1-(AO146+AP146)</f>
        <v>0.258064516129032</v>
      </c>
      <c r="AR146" s="48" t="n">
        <f aca="false">AQ146+AP146</f>
        <v>0.505376344086022</v>
      </c>
    </row>
    <row r="147" customFormat="false" ht="12.75" hidden="false" customHeight="false" outlineLevel="0" collapsed="false">
      <c r="A147" s="52" t="n">
        <v>40634</v>
      </c>
      <c r="B147" s="59" t="n">
        <v>27.85</v>
      </c>
      <c r="C147" s="59" t="n">
        <v>18.4041666666667</v>
      </c>
      <c r="D147" s="60" t="n">
        <v>30.415</v>
      </c>
      <c r="E147" s="60" t="n">
        <v>22.81125</v>
      </c>
      <c r="F147" s="60" t="n">
        <f aca="false">((G147*AD147)-(B147*AE147))*(1/AF147)</f>
        <v>19.3319736842105</v>
      </c>
      <c r="G147" s="54" t="n">
        <f aca="false">((Z147*16*E147)+(B147*W147*16)+(X147*8*C147))/(X147*24)</f>
        <v>24.2535</v>
      </c>
      <c r="H147" s="54" t="n">
        <f aca="false">(F147*AF147+B147*AE147)/AD147</f>
        <v>24.2535</v>
      </c>
      <c r="I147" s="54" t="n">
        <f aca="false">B147*$C$5+F147*$C$6</f>
        <v>24.1020684210526</v>
      </c>
      <c r="K147" s="76" t="n">
        <v>3.67719097143499</v>
      </c>
      <c r="M147" s="71" t="n">
        <v>1.340503974215</v>
      </c>
      <c r="N147" s="71" t="n">
        <v>0.064008356073235</v>
      </c>
      <c r="O147" s="35" t="n">
        <f aca="false">1/((1+N147)^((A147-$B$2)/365))</f>
        <v>2.45847699918691</v>
      </c>
      <c r="Q147" s="54" t="n">
        <f aca="false">M147*B147</f>
        <v>37.3330356818878</v>
      </c>
      <c r="R147" s="54" t="n">
        <f aca="false">C147*M147</f>
        <v>24.6708585587819</v>
      </c>
      <c r="S147" s="54" t="n">
        <f aca="false">M147*G147</f>
        <v>32.5119131386235</v>
      </c>
      <c r="T147" s="54" t="n">
        <f aca="false">F147*M147</f>
        <v>25.914587553104</v>
      </c>
      <c r="V147" s="56" t="n">
        <f aca="false">Z147+AC147</f>
        <v>4</v>
      </c>
      <c r="W147" s="56" t="n">
        <f aca="false">X147-V147</f>
        <v>26</v>
      </c>
      <c r="X147" s="85" t="n">
        <f aca="false">X135</f>
        <v>30</v>
      </c>
      <c r="Y147" s="77" t="n">
        <v>5</v>
      </c>
      <c r="Z147" s="77" t="n">
        <v>4</v>
      </c>
      <c r="AA147" s="85" t="n">
        <f aca="false">AA135</f>
        <v>9</v>
      </c>
      <c r="AB147" s="85" t="n">
        <f aca="false">AB135</f>
        <v>21</v>
      </c>
      <c r="AD147" s="0" t="n">
        <f aca="false">X147*24</f>
        <v>720</v>
      </c>
      <c r="AE147" s="0" t="n">
        <f aca="false">W147*16</f>
        <v>416</v>
      </c>
      <c r="AF147" s="0" t="n">
        <f aca="false">V147*24+W147*8</f>
        <v>304</v>
      </c>
      <c r="AH147" s="0" t="n">
        <f aca="false">X147*24</f>
        <v>720</v>
      </c>
      <c r="AI147" s="0" t="n">
        <f aca="false">AB147*16</f>
        <v>336</v>
      </c>
      <c r="AJ147" s="0" t="n">
        <f aca="false">AB147*13</f>
        <v>273</v>
      </c>
      <c r="AK147" s="0" t="n">
        <f aca="false">AB147*14</f>
        <v>294</v>
      </c>
      <c r="AL147" s="0" t="n">
        <f aca="false">AB147*8</f>
        <v>168</v>
      </c>
      <c r="AM147" s="0" t="n">
        <f aca="false">AA147*24</f>
        <v>216</v>
      </c>
      <c r="AO147" s="68" t="n">
        <f aca="false">AI147/AH147</f>
        <v>0.466666666666667</v>
      </c>
      <c r="AP147" s="68" t="n">
        <f aca="false">AL147/AH147</f>
        <v>0.233333333333333</v>
      </c>
      <c r="AQ147" s="68" t="n">
        <f aca="false">1-(AO147+AP147)</f>
        <v>0.3</v>
      </c>
      <c r="AR147" s="48" t="n">
        <f aca="false">AQ147+AP147</f>
        <v>0.533333333333333</v>
      </c>
    </row>
    <row r="148" customFormat="false" ht="12.75" hidden="false" customHeight="false" outlineLevel="0" collapsed="false">
      <c r="A148" s="52" t="n">
        <v>40664</v>
      </c>
      <c r="B148" s="59" t="n">
        <v>25.1</v>
      </c>
      <c r="C148" s="59" t="n">
        <v>9.84032258064516</v>
      </c>
      <c r="D148" s="60" t="n">
        <v>28.515</v>
      </c>
      <c r="E148" s="60" t="n">
        <v>21.38625</v>
      </c>
      <c r="F148" s="60" t="n">
        <f aca="false">((G148*AD148)-(B148*AE148))*(1/AF148)</f>
        <v>12.0677325581395</v>
      </c>
      <c r="G148" s="54" t="n">
        <f aca="false">((Z148*16*E148)+(B148*W148*16)+(X148*8*C148))/(X148*24)</f>
        <v>19.0743279569892</v>
      </c>
      <c r="H148" s="54" t="n">
        <f aca="false">(F148*AF148+B148*AE148)/AD148</f>
        <v>19.0743279569892</v>
      </c>
      <c r="I148" s="54" t="n">
        <f aca="false">B148*$C$5+F148*$C$6</f>
        <v>19.3658023255814</v>
      </c>
      <c r="K148" s="76" t="n">
        <v>3.65299533543623</v>
      </c>
      <c r="M148" s="71" t="n">
        <v>1.337910240833</v>
      </c>
      <c r="N148" s="71" t="n">
        <v>0.063826942957819</v>
      </c>
      <c r="O148" s="35" t="n">
        <f aca="false">1/((1+N148)^((A148-$B$2)/365))</f>
        <v>2.43996671871258</v>
      </c>
      <c r="Q148" s="54" t="n">
        <f aca="false">M148*B148</f>
        <v>33.5815470449083</v>
      </c>
      <c r="R148" s="54" t="n">
        <f aca="false">C148*M148</f>
        <v>13.1654683537454</v>
      </c>
      <c r="S148" s="54" t="n">
        <f aca="false">M148*G148</f>
        <v>25.5197387106631</v>
      </c>
      <c r="T148" s="54" t="n">
        <f aca="false">F148*M148</f>
        <v>16.1455429731687</v>
      </c>
      <c r="V148" s="56" t="n">
        <f aca="false">Z148+AC148</f>
        <v>6</v>
      </c>
      <c r="W148" s="56" t="n">
        <f aca="false">X148-V148</f>
        <v>25</v>
      </c>
      <c r="X148" s="85" t="n">
        <f aca="false">X136</f>
        <v>31</v>
      </c>
      <c r="Y148" s="77" t="n">
        <v>4</v>
      </c>
      <c r="Z148" s="77" t="n">
        <v>5</v>
      </c>
      <c r="AA148" s="85" t="n">
        <f aca="false">AA136</f>
        <v>9</v>
      </c>
      <c r="AB148" s="85" t="n">
        <f aca="false">AB136</f>
        <v>22</v>
      </c>
      <c r="AC148" s="0" t="n">
        <v>1</v>
      </c>
      <c r="AD148" s="0" t="n">
        <f aca="false">X148*24</f>
        <v>744</v>
      </c>
      <c r="AE148" s="0" t="n">
        <f aca="false">W148*16</f>
        <v>400</v>
      </c>
      <c r="AF148" s="0" t="n">
        <f aca="false">V148*24+W148*8</f>
        <v>344</v>
      </c>
      <c r="AH148" s="0" t="n">
        <f aca="false">X148*24</f>
        <v>744</v>
      </c>
      <c r="AI148" s="0" t="n">
        <f aca="false">AB148*16</f>
        <v>352</v>
      </c>
      <c r="AJ148" s="0" t="n">
        <f aca="false">AB148*13</f>
        <v>286</v>
      </c>
      <c r="AK148" s="0" t="n">
        <f aca="false">AB148*14</f>
        <v>308</v>
      </c>
      <c r="AL148" s="0" t="n">
        <f aca="false">AB148*8</f>
        <v>176</v>
      </c>
      <c r="AM148" s="0" t="n">
        <f aca="false">AA148*24</f>
        <v>216</v>
      </c>
      <c r="AO148" s="68" t="n">
        <f aca="false">AI148/AH148</f>
        <v>0.473118279569893</v>
      </c>
      <c r="AP148" s="68" t="n">
        <f aca="false">AL148/AH148</f>
        <v>0.236559139784946</v>
      </c>
      <c r="AQ148" s="68" t="n">
        <f aca="false">1-(AO148+AP148)</f>
        <v>0.290322580645161</v>
      </c>
      <c r="AR148" s="48" t="n">
        <f aca="false">AQ148+AP148</f>
        <v>0.526881720430108</v>
      </c>
    </row>
    <row r="149" customFormat="false" ht="12.75" hidden="false" customHeight="false" outlineLevel="0" collapsed="false">
      <c r="A149" s="52" t="n">
        <v>40695</v>
      </c>
      <c r="B149" s="59" t="n">
        <v>27.1</v>
      </c>
      <c r="C149" s="59" t="n">
        <v>10.5</v>
      </c>
      <c r="D149" s="60" t="n">
        <v>29.415</v>
      </c>
      <c r="E149" s="60" t="n">
        <v>22.06125</v>
      </c>
      <c r="F149" s="60" t="n">
        <f aca="false">((G149*AD149)-(B149*AE149))*(1/AF149)</f>
        <v>12.9339473684211</v>
      </c>
      <c r="G149" s="54" t="n">
        <f aca="false">((Z149*16*E149)+(B149*W149*16)+(X149*8*C149))/(X149*24)</f>
        <v>21.1187777777778</v>
      </c>
      <c r="H149" s="54" t="n">
        <f aca="false">(F149*AF149+B149*AE149)/AD149</f>
        <v>21.1187777777778</v>
      </c>
      <c r="I149" s="54" t="n">
        <f aca="false">B149*$C$5+F149*$C$6</f>
        <v>20.8669368421053</v>
      </c>
      <c r="K149" s="76" t="n">
        <v>3.75971712474316</v>
      </c>
      <c r="M149" s="71" t="n">
        <v>1.337232907729</v>
      </c>
      <c r="N149" s="71" t="n">
        <v>0.063851469419</v>
      </c>
      <c r="O149" s="35" t="n">
        <f aca="false">1/((1+N149)^((A149-$B$2)/365))</f>
        <v>2.42798055202943</v>
      </c>
      <c r="Q149" s="54" t="n">
        <f aca="false">M149*B149</f>
        <v>36.2390117994559</v>
      </c>
      <c r="R149" s="54" t="n">
        <f aca="false">C149*M149</f>
        <v>14.0409455311545</v>
      </c>
      <c r="S149" s="54" t="n">
        <f aca="false">M149*G149</f>
        <v>28.2407246154604</v>
      </c>
      <c r="T149" s="54" t="n">
        <f aca="false">F149*M149</f>
        <v>17.2957000478875</v>
      </c>
      <c r="V149" s="56" t="n">
        <f aca="false">Z149+AC149</f>
        <v>4</v>
      </c>
      <c r="W149" s="56" t="n">
        <f aca="false">X149-V149</f>
        <v>26</v>
      </c>
      <c r="X149" s="85" t="n">
        <f aca="false">X137</f>
        <v>30</v>
      </c>
      <c r="Y149" s="77" t="n">
        <v>4</v>
      </c>
      <c r="Z149" s="77" t="n">
        <v>4</v>
      </c>
      <c r="AA149" s="85" t="n">
        <f aca="false">AA137</f>
        <v>8</v>
      </c>
      <c r="AB149" s="85" t="n">
        <f aca="false">AB137</f>
        <v>22</v>
      </c>
      <c r="AD149" s="0" t="n">
        <f aca="false">X149*24</f>
        <v>720</v>
      </c>
      <c r="AE149" s="0" t="n">
        <f aca="false">W149*16</f>
        <v>416</v>
      </c>
      <c r="AF149" s="0" t="n">
        <f aca="false">V149*24+W149*8</f>
        <v>304</v>
      </c>
      <c r="AH149" s="0" t="n">
        <f aca="false">X149*24</f>
        <v>720</v>
      </c>
      <c r="AI149" s="0" t="n">
        <f aca="false">AB149*16</f>
        <v>352</v>
      </c>
      <c r="AJ149" s="0" t="n">
        <f aca="false">AB149*13</f>
        <v>286</v>
      </c>
      <c r="AK149" s="0" t="n">
        <f aca="false">AB149*14</f>
        <v>308</v>
      </c>
      <c r="AL149" s="0" t="n">
        <f aca="false">AB149*8</f>
        <v>176</v>
      </c>
      <c r="AM149" s="0" t="n">
        <f aca="false">AA149*24</f>
        <v>192</v>
      </c>
      <c r="AO149" s="68" t="n">
        <f aca="false">AI149/AH149</f>
        <v>0.488888888888889</v>
      </c>
      <c r="AP149" s="68" t="n">
        <f aca="false">AL149/AH149</f>
        <v>0.244444444444444</v>
      </c>
      <c r="AQ149" s="68" t="n">
        <f aca="false">1-(AO149+AP149)</f>
        <v>0.266666666666667</v>
      </c>
      <c r="AR149" s="48" t="n">
        <f aca="false">AQ149+AP149</f>
        <v>0.511111111111111</v>
      </c>
    </row>
    <row r="150" customFormat="false" ht="12.75" hidden="false" customHeight="false" outlineLevel="0" collapsed="false">
      <c r="A150" s="52" t="n">
        <v>40725</v>
      </c>
      <c r="B150" s="59" t="n">
        <v>58.36</v>
      </c>
      <c r="C150" s="59" t="n">
        <v>21.558064516129</v>
      </c>
      <c r="D150" s="60" t="n">
        <v>48.54</v>
      </c>
      <c r="E150" s="60" t="n">
        <v>36.78</v>
      </c>
      <c r="F150" s="60" t="n">
        <f aca="false">((G150*AD150)-(B150*AE150))*(1/AF150)</f>
        <v>24.0953488372093</v>
      </c>
      <c r="G150" s="54" t="n">
        <f aca="false">((Z150*16*E150)+(B150*W150*16)+(X150*8*C150))/(X150*24)</f>
        <v>42.5172043010753</v>
      </c>
      <c r="H150" s="54" t="n">
        <f aca="false">(F150*AF150+B150*AE150)/AD150</f>
        <v>42.5172043010753</v>
      </c>
      <c r="I150" s="54" t="n">
        <f aca="false">B150*$C$5+F150*$C$6</f>
        <v>43.2835534883721</v>
      </c>
      <c r="K150" s="76" t="n">
        <v>3.74440682961157</v>
      </c>
      <c r="M150" s="71" t="n">
        <v>1.336538313048</v>
      </c>
      <c r="N150" s="71" t="n">
        <v>0.063876813429084</v>
      </c>
      <c r="O150" s="35" t="n">
        <f aca="false">1/((1+N150)^((A150-$B$2)/365))</f>
        <v>2.41648014116417</v>
      </c>
      <c r="Q150" s="54" t="n">
        <f aca="false">M150*B150</f>
        <v>78.0003759494813</v>
      </c>
      <c r="R150" s="54" t="n">
        <f aca="false">C150*M150</f>
        <v>28.8131791809671</v>
      </c>
      <c r="S150" s="54" t="n">
        <f aca="false">M150*G150</f>
        <v>56.8258725120763</v>
      </c>
      <c r="T150" s="54" t="n">
        <f aca="false">F150*M150</f>
        <v>32.2043568871868</v>
      </c>
      <c r="V150" s="56" t="n">
        <f aca="false">Z150+AC150</f>
        <v>6</v>
      </c>
      <c r="W150" s="56" t="n">
        <f aca="false">X150-V150</f>
        <v>25</v>
      </c>
      <c r="X150" s="85" t="n">
        <f aca="false">X138</f>
        <v>31</v>
      </c>
      <c r="Y150" s="77" t="n">
        <v>5</v>
      </c>
      <c r="Z150" s="77" t="n">
        <v>5</v>
      </c>
      <c r="AA150" s="85" t="n">
        <f aca="false">AA138</f>
        <v>10</v>
      </c>
      <c r="AB150" s="85" t="n">
        <f aca="false">AB138</f>
        <v>21</v>
      </c>
      <c r="AC150" s="0" t="n">
        <v>1</v>
      </c>
      <c r="AD150" s="0" t="n">
        <f aca="false">X150*24</f>
        <v>744</v>
      </c>
      <c r="AE150" s="0" t="n">
        <f aca="false">W150*16</f>
        <v>400</v>
      </c>
      <c r="AF150" s="0" t="n">
        <f aca="false">V150*24+W150*8</f>
        <v>344</v>
      </c>
      <c r="AH150" s="0" t="n">
        <f aca="false">X150*24</f>
        <v>744</v>
      </c>
      <c r="AI150" s="0" t="n">
        <f aca="false">AB150*16</f>
        <v>336</v>
      </c>
      <c r="AJ150" s="0" t="n">
        <f aca="false">AB150*13</f>
        <v>273</v>
      </c>
      <c r="AK150" s="0" t="n">
        <f aca="false">AB150*14</f>
        <v>294</v>
      </c>
      <c r="AL150" s="0" t="n">
        <f aca="false">AB150*8</f>
        <v>168</v>
      </c>
      <c r="AM150" s="0" t="n">
        <f aca="false">AA150*24</f>
        <v>240</v>
      </c>
      <c r="AO150" s="68" t="n">
        <f aca="false">AI150/AH150</f>
        <v>0.451612903225806</v>
      </c>
      <c r="AP150" s="68" t="n">
        <f aca="false">AL150/AH150</f>
        <v>0.225806451612903</v>
      </c>
      <c r="AQ150" s="68" t="n">
        <f aca="false">1-(AO150+AP150)</f>
        <v>0.32258064516129</v>
      </c>
      <c r="AR150" s="48" t="n">
        <f aca="false">AQ150+AP150</f>
        <v>0.548387096774194</v>
      </c>
    </row>
    <row r="151" customFormat="false" ht="12.75" hidden="false" customHeight="false" outlineLevel="0" collapsed="false">
      <c r="A151" s="52" t="n">
        <v>40756</v>
      </c>
      <c r="B151" s="59" t="n">
        <v>71.36</v>
      </c>
      <c r="C151" s="59" t="n">
        <v>23.6387096774194</v>
      </c>
      <c r="D151" s="60" t="n">
        <v>67.29</v>
      </c>
      <c r="E151" s="60" t="n">
        <v>50.655</v>
      </c>
      <c r="F151" s="60" t="n">
        <f aca="false">((G151*AD151)-(B151*AE151))*(1/AF151)</f>
        <v>29.1805128205128</v>
      </c>
      <c r="G151" s="54" t="n">
        <f aca="false">((Z151*16*E151)+(B151*W151*16)+(X151*8*C151))/(X151*24)</f>
        <v>53.6718279569893</v>
      </c>
      <c r="H151" s="54" t="n">
        <f aca="false">(F151*AF151+B151*AE151)/AD151</f>
        <v>53.6718279569893</v>
      </c>
      <c r="I151" s="54" t="n">
        <f aca="false">B151*$C$5+F151*$C$6</f>
        <v>52.8010256410256</v>
      </c>
      <c r="K151" s="76" t="n">
        <v>3.74173596255015</v>
      </c>
      <c r="M151" s="71" t="n">
        <v>1.335849113657</v>
      </c>
      <c r="N151" s="71" t="n">
        <v>0.063902157439388</v>
      </c>
      <c r="O151" s="35" t="n">
        <f aca="false">1/((1+N151)^((A151-$B$2)/365))</f>
        <v>2.4046166484223</v>
      </c>
      <c r="Q151" s="54" t="n">
        <f aca="false">M151*B151</f>
        <v>95.3261927505635</v>
      </c>
      <c r="R151" s="54" t="n">
        <f aca="false">C151*M151</f>
        <v>31.5777493705758</v>
      </c>
      <c r="S151" s="54" t="n">
        <f aca="false">M151*G151</f>
        <v>71.6974638046951</v>
      </c>
      <c r="T151" s="54" t="n">
        <f aca="false">F151*M151</f>
        <v>38.9807621873388</v>
      </c>
      <c r="V151" s="56" t="n">
        <f aca="false">Z151+AC151</f>
        <v>4</v>
      </c>
      <c r="W151" s="56" t="n">
        <f aca="false">X151-V151</f>
        <v>27</v>
      </c>
      <c r="X151" s="85" t="n">
        <f aca="false">X139</f>
        <v>31</v>
      </c>
      <c r="Y151" s="77" t="n">
        <v>4</v>
      </c>
      <c r="Z151" s="77" t="n">
        <v>4</v>
      </c>
      <c r="AA151" s="85" t="n">
        <f aca="false">AA139</f>
        <v>8</v>
      </c>
      <c r="AB151" s="85" t="n">
        <f aca="false">AB139</f>
        <v>23</v>
      </c>
      <c r="AD151" s="0" t="n">
        <f aca="false">X151*24</f>
        <v>744</v>
      </c>
      <c r="AE151" s="0" t="n">
        <f aca="false">W151*16</f>
        <v>432</v>
      </c>
      <c r="AF151" s="0" t="n">
        <f aca="false">V151*24+W151*8</f>
        <v>312</v>
      </c>
      <c r="AH151" s="0" t="n">
        <f aca="false">X151*24</f>
        <v>744</v>
      </c>
      <c r="AI151" s="0" t="n">
        <f aca="false">AB151*16</f>
        <v>368</v>
      </c>
      <c r="AJ151" s="0" t="n">
        <f aca="false">AB151*13</f>
        <v>299</v>
      </c>
      <c r="AK151" s="0" t="n">
        <f aca="false">AB151*14</f>
        <v>322</v>
      </c>
      <c r="AL151" s="0" t="n">
        <f aca="false">AB151*8</f>
        <v>184</v>
      </c>
      <c r="AM151" s="0" t="n">
        <f aca="false">AA151*24</f>
        <v>192</v>
      </c>
      <c r="AO151" s="68" t="n">
        <f aca="false">AI151/AH151</f>
        <v>0.494623655913979</v>
      </c>
      <c r="AP151" s="68" t="n">
        <f aca="false">AL151/AH151</f>
        <v>0.247311827956989</v>
      </c>
      <c r="AQ151" s="68" t="n">
        <f aca="false">1-(AO151+AP151)</f>
        <v>0.258064516129032</v>
      </c>
      <c r="AR151" s="48" t="n">
        <f aca="false">AQ151+AP151</f>
        <v>0.505376344086022</v>
      </c>
    </row>
    <row r="152" customFormat="false" ht="12.75" hidden="false" customHeight="false" outlineLevel="0" collapsed="false">
      <c r="A152" s="52" t="n">
        <v>40787</v>
      </c>
      <c r="B152" s="59" t="n">
        <v>64.35</v>
      </c>
      <c r="C152" s="59" t="n">
        <v>22.325</v>
      </c>
      <c r="D152" s="60" t="n">
        <v>62.915</v>
      </c>
      <c r="E152" s="60" t="n">
        <v>47.37375</v>
      </c>
      <c r="F152" s="60" t="n">
        <f aca="false">((G152*AD152)-(B152*AE152))*(1/AF152)</f>
        <v>26.2185</v>
      </c>
      <c r="G152" s="54" t="n">
        <f aca="false">((Z152*16*E152)+(B152*W152*16)+(X152*8*C152))/(X152*24)</f>
        <v>47.4026666666667</v>
      </c>
      <c r="H152" s="54" t="n">
        <f aca="false">(F152*AF152+B152*AE152)/AD152</f>
        <v>47.4026666666667</v>
      </c>
      <c r="I152" s="54" t="n">
        <f aca="false">B152*$C$5+F152*$C$6</f>
        <v>47.57214</v>
      </c>
      <c r="K152" s="76" t="n">
        <v>3.72258251564288</v>
      </c>
      <c r="M152" s="71" t="n">
        <v>1.335187275931</v>
      </c>
      <c r="N152" s="71" t="n">
        <v>0.063926683901175</v>
      </c>
      <c r="O152" s="35" t="n">
        <f aca="false">1/((1+N152)^((A152-$B$2)/365))</f>
        <v>2.39277580926849</v>
      </c>
      <c r="Q152" s="54" t="n">
        <f aca="false">M152*B152</f>
        <v>85.9193012061599</v>
      </c>
      <c r="R152" s="54" t="n">
        <f aca="false">C152*M152</f>
        <v>29.8080559351596</v>
      </c>
      <c r="S152" s="54" t="n">
        <f aca="false">M152*G152</f>
        <v>63.2914373785319</v>
      </c>
      <c r="T152" s="54" t="n">
        <f aca="false">F152*M152</f>
        <v>35.0066075939969</v>
      </c>
      <c r="V152" s="56" t="n">
        <f aca="false">Z152+AC152</f>
        <v>5</v>
      </c>
      <c r="W152" s="56" t="n">
        <f aca="false">X152-V152</f>
        <v>25</v>
      </c>
      <c r="X152" s="85" t="n">
        <f aca="false">X140</f>
        <v>30</v>
      </c>
      <c r="Y152" s="77" t="n">
        <v>4</v>
      </c>
      <c r="Z152" s="77" t="n">
        <v>4</v>
      </c>
      <c r="AA152" s="85" t="n">
        <f aca="false">AA140</f>
        <v>8</v>
      </c>
      <c r="AB152" s="85" t="n">
        <f aca="false">AB140</f>
        <v>22</v>
      </c>
      <c r="AC152" s="0" t="n">
        <v>1</v>
      </c>
      <c r="AD152" s="0" t="n">
        <f aca="false">X152*24</f>
        <v>720</v>
      </c>
      <c r="AE152" s="0" t="n">
        <f aca="false">W152*16</f>
        <v>400</v>
      </c>
      <c r="AF152" s="0" t="n">
        <f aca="false">V152*24+W152*8</f>
        <v>320</v>
      </c>
      <c r="AH152" s="0" t="n">
        <f aca="false">X152*24</f>
        <v>720</v>
      </c>
      <c r="AI152" s="0" t="n">
        <f aca="false">AB152*16</f>
        <v>352</v>
      </c>
      <c r="AJ152" s="0" t="n">
        <f aca="false">AB152*13</f>
        <v>286</v>
      </c>
      <c r="AK152" s="0" t="n">
        <f aca="false">AB152*14</f>
        <v>308</v>
      </c>
      <c r="AL152" s="0" t="n">
        <f aca="false">AB152*8</f>
        <v>176</v>
      </c>
      <c r="AM152" s="0" t="n">
        <f aca="false">AA152*24</f>
        <v>192</v>
      </c>
      <c r="AO152" s="68" t="n">
        <f aca="false">AI152/AH152</f>
        <v>0.488888888888889</v>
      </c>
      <c r="AP152" s="68" t="n">
        <f aca="false">AL152/AH152</f>
        <v>0.244444444444444</v>
      </c>
      <c r="AQ152" s="68" t="n">
        <f aca="false">1-(AO152+AP152)</f>
        <v>0.266666666666667</v>
      </c>
      <c r="AR152" s="48" t="n">
        <f aca="false">AQ152+AP152</f>
        <v>0.511111111111111</v>
      </c>
    </row>
    <row r="153" customFormat="false" ht="12.75" hidden="false" customHeight="false" outlineLevel="0" collapsed="false">
      <c r="A153" s="52" t="n">
        <v>40817</v>
      </c>
      <c r="B153" s="59" t="n">
        <v>37.35</v>
      </c>
      <c r="C153" s="59" t="n">
        <v>29.0338709677419</v>
      </c>
      <c r="D153" s="60" t="n">
        <v>41.165</v>
      </c>
      <c r="E153" s="60" t="n">
        <v>30.87375</v>
      </c>
      <c r="F153" s="60" t="n">
        <f aca="false">((G153*AD153)-(B153*AE153))*(1/AF153)</f>
        <v>29.4826219512195</v>
      </c>
      <c r="G153" s="54" t="n">
        <f aca="false">((Z153*16*E153)+(B153*W153*16)+(X153*8*C153))/(X153*24)</f>
        <v>33.8815860215054</v>
      </c>
      <c r="H153" s="54" t="n">
        <f aca="false">(F153*AF153+B153*AE153)/AD153</f>
        <v>33.8815860215054</v>
      </c>
      <c r="I153" s="54" t="n">
        <f aca="false">B153*$C$5+F153*$C$6</f>
        <v>33.8883536585366</v>
      </c>
      <c r="K153" s="76" t="n">
        <v>3.73524598181822</v>
      </c>
      <c r="M153" s="71" t="n">
        <v>1.334508669556</v>
      </c>
      <c r="N153" s="71" t="n">
        <v>0.063952027911898</v>
      </c>
      <c r="O153" s="35" t="n">
        <f aca="false">1/((1+N153)^((A153-$B$2)/365))</f>
        <v>2.38141395617439</v>
      </c>
      <c r="Q153" s="54" t="n">
        <f aca="false">M153*B153</f>
        <v>49.8438988079166</v>
      </c>
      <c r="R153" s="54" t="n">
        <f aca="false">C153*M153</f>
        <v>38.7459525172219</v>
      </c>
      <c r="S153" s="54" t="n">
        <f aca="false">M153*G153</f>
        <v>45.2152702840063</v>
      </c>
      <c r="T153" s="54" t="n">
        <f aca="false">F153*M153</f>
        <v>39.3448145951445</v>
      </c>
      <c r="V153" s="56" t="n">
        <f aca="false">Z153+AC153</f>
        <v>5</v>
      </c>
      <c r="W153" s="56" t="n">
        <f aca="false">X153-V153</f>
        <v>26</v>
      </c>
      <c r="X153" s="85" t="n">
        <f aca="false">X141</f>
        <v>31</v>
      </c>
      <c r="Y153" s="77" t="n">
        <v>5</v>
      </c>
      <c r="Z153" s="77" t="n">
        <v>5</v>
      </c>
      <c r="AA153" s="85" t="n">
        <f aca="false">AA141</f>
        <v>10</v>
      </c>
      <c r="AB153" s="85" t="n">
        <f aca="false">AB141</f>
        <v>21</v>
      </c>
      <c r="AD153" s="0" t="n">
        <f aca="false">X153*24</f>
        <v>744</v>
      </c>
      <c r="AE153" s="0" t="n">
        <f aca="false">W153*16</f>
        <v>416</v>
      </c>
      <c r="AF153" s="0" t="n">
        <f aca="false">V153*24+W153*8</f>
        <v>328</v>
      </c>
      <c r="AH153" s="0" t="n">
        <f aca="false">X153*24</f>
        <v>744</v>
      </c>
      <c r="AI153" s="0" t="n">
        <f aca="false">AB153*16</f>
        <v>336</v>
      </c>
      <c r="AJ153" s="0" t="n">
        <f aca="false">AB153*13</f>
        <v>273</v>
      </c>
      <c r="AK153" s="0" t="n">
        <f aca="false">AB153*14</f>
        <v>294</v>
      </c>
      <c r="AL153" s="0" t="n">
        <f aca="false">AB153*8</f>
        <v>168</v>
      </c>
      <c r="AM153" s="0" t="n">
        <f aca="false">AA153*24</f>
        <v>240</v>
      </c>
      <c r="AO153" s="68" t="n">
        <f aca="false">AI153/AH153</f>
        <v>0.451612903225806</v>
      </c>
      <c r="AP153" s="68" t="n">
        <f aca="false">AL153/AH153</f>
        <v>0.225806451612903</v>
      </c>
      <c r="AQ153" s="68" t="n">
        <f aca="false">1-(AO153+AP153)</f>
        <v>0.32258064516129</v>
      </c>
      <c r="AR153" s="48" t="n">
        <f aca="false">AQ153+AP153</f>
        <v>0.548387096774194</v>
      </c>
    </row>
    <row r="154" customFormat="false" ht="12.75" hidden="false" customHeight="false" outlineLevel="0" collapsed="false">
      <c r="A154" s="52" t="n">
        <v>40848</v>
      </c>
      <c r="B154" s="59" t="n">
        <v>34.35</v>
      </c>
      <c r="C154" s="59" t="n">
        <v>30.1125</v>
      </c>
      <c r="D154" s="60" t="n">
        <v>39.915</v>
      </c>
      <c r="E154" s="60" t="n">
        <v>29.93625</v>
      </c>
      <c r="F154" s="60" t="n">
        <f aca="false">((G154*AD154)-(B154*AE154))*(1/AF154)</f>
        <v>28.571625</v>
      </c>
      <c r="G154" s="54" t="n">
        <f aca="false">((Z154*16*E154)+(B154*W154*16)+(X154*8*C154))/(X154*24)</f>
        <v>31.7818333333333</v>
      </c>
      <c r="H154" s="54" t="n">
        <f aca="false">(F154*AF154+B154*AE154)/AD154</f>
        <v>31.7818333333333</v>
      </c>
      <c r="I154" s="54" t="n">
        <f aca="false">B154*$C$5+F154*$C$6</f>
        <v>31.807515</v>
      </c>
      <c r="K154" s="76" t="n">
        <v>3.83016974877424</v>
      </c>
      <c r="M154" s="71" t="n">
        <v>1.333857068182</v>
      </c>
      <c r="N154" s="71" t="n">
        <v>0.063976554374091</v>
      </c>
      <c r="O154" s="35" t="n">
        <f aca="false">1/((1+N154)^((A154-$B$2)/365))</f>
        <v>2.36966877283019</v>
      </c>
      <c r="Q154" s="54" t="n">
        <f aca="false">M154*B154</f>
        <v>45.8179902920517</v>
      </c>
      <c r="R154" s="54" t="n">
        <f aca="false">C154*M154</f>
        <v>40.1657709656305</v>
      </c>
      <c r="S154" s="54" t="n">
        <f aca="false">M154*G154</f>
        <v>42.392423031449</v>
      </c>
      <c r="T154" s="54" t="n">
        <f aca="false">F154*M154</f>
        <v>38.1104639556955</v>
      </c>
      <c r="V154" s="56" t="n">
        <f aca="false">Z154+AC154</f>
        <v>5</v>
      </c>
      <c r="W154" s="56" t="n">
        <f aca="false">X154-V154</f>
        <v>25</v>
      </c>
      <c r="X154" s="85" t="n">
        <f aca="false">X142</f>
        <v>30</v>
      </c>
      <c r="Y154" s="77" t="n">
        <v>4</v>
      </c>
      <c r="Z154" s="77" t="n">
        <v>4</v>
      </c>
      <c r="AA154" s="85" t="n">
        <f aca="false">AA142</f>
        <v>8</v>
      </c>
      <c r="AB154" s="85" t="n">
        <f aca="false">AB142</f>
        <v>22</v>
      </c>
      <c r="AC154" s="0" t="n">
        <v>1</v>
      </c>
      <c r="AD154" s="0" t="n">
        <f aca="false">X154*24</f>
        <v>720</v>
      </c>
      <c r="AE154" s="0" t="n">
        <f aca="false">W154*16</f>
        <v>400</v>
      </c>
      <c r="AF154" s="0" t="n">
        <f aca="false">V154*24+W154*8</f>
        <v>320</v>
      </c>
      <c r="AH154" s="0" t="n">
        <f aca="false">X154*24</f>
        <v>720</v>
      </c>
      <c r="AI154" s="0" t="n">
        <f aca="false">AB154*16</f>
        <v>352</v>
      </c>
      <c r="AJ154" s="0" t="n">
        <f aca="false">AB154*13</f>
        <v>286</v>
      </c>
      <c r="AK154" s="0" t="n">
        <f aca="false">AB154*14</f>
        <v>308</v>
      </c>
      <c r="AL154" s="0" t="n">
        <f aca="false">AB154*8</f>
        <v>176</v>
      </c>
      <c r="AM154" s="0" t="n">
        <f aca="false">AA154*24</f>
        <v>192</v>
      </c>
      <c r="AO154" s="68" t="n">
        <f aca="false">AI154/AH154</f>
        <v>0.488888888888889</v>
      </c>
      <c r="AP154" s="68" t="n">
        <f aca="false">AL154/AH154</f>
        <v>0.244444444444444</v>
      </c>
      <c r="AQ154" s="68" t="n">
        <f aca="false">1-(AO154+AP154)</f>
        <v>0.266666666666667</v>
      </c>
      <c r="AR154" s="48" t="n">
        <f aca="false">AQ154+AP154</f>
        <v>0.511111111111111</v>
      </c>
    </row>
    <row r="155" customFormat="false" ht="12.75" hidden="false" customHeight="false" outlineLevel="0" collapsed="false">
      <c r="A155" s="52" t="n">
        <v>40878</v>
      </c>
      <c r="B155" s="59" t="n">
        <v>33.85</v>
      </c>
      <c r="C155" s="59" t="n">
        <v>29.6951612903226</v>
      </c>
      <c r="D155" s="60" t="n">
        <v>40.165</v>
      </c>
      <c r="E155" s="60" t="n">
        <v>30.12375</v>
      </c>
      <c r="F155" s="60" t="n">
        <f aca="false">((G155*AD155)-(B155*AE155))*(1/AF155)</f>
        <v>28.330243902439</v>
      </c>
      <c r="G155" s="54" t="n">
        <f aca="false">((Z155*16*E155)+(B155*W155*16)+(X155*8*C155))/(X155*24)</f>
        <v>31.4165591397849</v>
      </c>
      <c r="H155" s="54" t="n">
        <f aca="false">(F155*AF155+B155*AE155)/AD155</f>
        <v>31.4165591397849</v>
      </c>
      <c r="I155" s="54" t="n">
        <f aca="false">B155*$C$5+F155*$C$6</f>
        <v>31.4213073170732</v>
      </c>
      <c r="K155" s="76" t="n">
        <v>3.93898425276862</v>
      </c>
      <c r="M155" s="71" t="n">
        <v>1.333189024044</v>
      </c>
      <c r="N155" s="71" t="n">
        <v>0.064001898385233</v>
      </c>
      <c r="O155" s="35" t="n">
        <f aca="false">1/((1+N155)^((A155-$B$2)/365))</f>
        <v>2.35839812994034</v>
      </c>
      <c r="Q155" s="54" t="n">
        <f aca="false">M155*B155</f>
        <v>45.1284484638894</v>
      </c>
      <c r="R155" s="54" t="n">
        <f aca="false">C155*M155</f>
        <v>39.5892630994743</v>
      </c>
      <c r="S155" s="54" t="n">
        <f aca="false">M155*G155</f>
        <v>41.8842118183905</v>
      </c>
      <c r="T155" s="54" t="n">
        <f aca="false">F155*M155</f>
        <v>37.7695702192212</v>
      </c>
      <c r="V155" s="56" t="n">
        <f aca="false">Z155+AC155</f>
        <v>5</v>
      </c>
      <c r="W155" s="56" t="n">
        <f aca="false">X155-V155</f>
        <v>26</v>
      </c>
      <c r="X155" s="85" t="n">
        <f aca="false">X143</f>
        <v>31</v>
      </c>
      <c r="Y155" s="77" t="n">
        <v>5</v>
      </c>
      <c r="Z155" s="77" t="n">
        <v>4</v>
      </c>
      <c r="AA155" s="85" t="n">
        <f aca="false">AA143</f>
        <v>9</v>
      </c>
      <c r="AB155" s="85" t="n">
        <f aca="false">AB143</f>
        <v>22</v>
      </c>
      <c r="AC155" s="0" t="n">
        <v>1</v>
      </c>
      <c r="AD155" s="0" t="n">
        <f aca="false">X155*24</f>
        <v>744</v>
      </c>
      <c r="AE155" s="0" t="n">
        <f aca="false">W155*16</f>
        <v>416</v>
      </c>
      <c r="AF155" s="0" t="n">
        <f aca="false">V155*24+W155*8</f>
        <v>328</v>
      </c>
      <c r="AH155" s="0" t="n">
        <f aca="false">X155*24</f>
        <v>744</v>
      </c>
      <c r="AI155" s="0" t="n">
        <f aca="false">AB155*16</f>
        <v>352</v>
      </c>
      <c r="AJ155" s="0" t="n">
        <f aca="false">AB155*13</f>
        <v>286</v>
      </c>
      <c r="AK155" s="0" t="n">
        <f aca="false">AB155*14</f>
        <v>308</v>
      </c>
      <c r="AL155" s="0" t="n">
        <f aca="false">AB155*8</f>
        <v>176</v>
      </c>
      <c r="AM155" s="0" t="n">
        <f aca="false">AA155*24</f>
        <v>216</v>
      </c>
      <c r="AO155" s="68" t="n">
        <f aca="false">AI155/AH155</f>
        <v>0.473118279569893</v>
      </c>
      <c r="AP155" s="68" t="n">
        <f aca="false">AL155/AH155</f>
        <v>0.236559139784946</v>
      </c>
      <c r="AQ155" s="68" t="n">
        <f aca="false">1-(AO155+AP155)</f>
        <v>0.290322580645161</v>
      </c>
      <c r="AR155" s="48" t="n">
        <f aca="false">AQ155+AP155</f>
        <v>0.526881720430108</v>
      </c>
    </row>
    <row r="156" customFormat="false" ht="12.75" hidden="false" customHeight="false" outlineLevel="0" collapsed="false">
      <c r="A156" s="52" t="n">
        <v>40909</v>
      </c>
      <c r="B156" s="59" t="n">
        <v>35.85</v>
      </c>
      <c r="C156" s="59" t="n">
        <v>28.8241935483871</v>
      </c>
      <c r="D156" s="60" t="n">
        <v>36</v>
      </c>
      <c r="E156" s="60" t="n">
        <v>27</v>
      </c>
      <c r="F156" s="60" t="n">
        <f aca="false">((G156*AD156)-(B156*AE156))*(1/AF156)</f>
        <v>27.0593023255814</v>
      </c>
      <c r="G156" s="54" t="n">
        <f aca="false">((Z156*16*E156)+(B156*W156*16)+(X156*8*C156))/(X156*24)</f>
        <v>31.7854838709677</v>
      </c>
      <c r="H156" s="54" t="n">
        <f aca="false">(F156*AF156+B156*AE156)/AD156</f>
        <v>31.7854838709677</v>
      </c>
      <c r="I156" s="54" t="n">
        <f aca="false">B156*$C$5+F156*$C$6</f>
        <v>31.9820930232558</v>
      </c>
      <c r="K156" s="76" t="n">
        <v>4.1968679354816</v>
      </c>
      <c r="M156" s="71" t="n">
        <v>1.325983628831</v>
      </c>
      <c r="N156" s="71" t="n">
        <v>0.064286465706934</v>
      </c>
      <c r="O156" s="35" t="n">
        <f aca="false">1/((1+N156)^((A156-$B$2)/365))</f>
        <v>2.35464361120192</v>
      </c>
      <c r="Q156" s="54" t="n">
        <f aca="false">M156*B156</f>
        <v>47.5365130935914</v>
      </c>
      <c r="R156" s="54" t="n">
        <f aca="false">C156*M156</f>
        <v>38.2204087594174</v>
      </c>
      <c r="S156" s="54" t="n">
        <f aca="false">M156*G156</f>
        <v>42.147031247375</v>
      </c>
      <c r="T156" s="54" t="n">
        <f aca="false">F156*M156</f>
        <v>35.8801918913095</v>
      </c>
      <c r="V156" s="56" t="n">
        <f aca="false">Z156+AC156</f>
        <v>6</v>
      </c>
      <c r="W156" s="56" t="n">
        <f aca="false">X156-V156</f>
        <v>25</v>
      </c>
      <c r="X156" s="85" t="n">
        <f aca="false">X144</f>
        <v>31</v>
      </c>
      <c r="Y156" s="78" t="n">
        <v>4</v>
      </c>
      <c r="Z156" s="78" t="n">
        <v>5</v>
      </c>
      <c r="AA156" s="85" t="n">
        <f aca="false">AA144</f>
        <v>10</v>
      </c>
      <c r="AB156" s="85" t="n">
        <f aca="false">AB144</f>
        <v>21</v>
      </c>
      <c r="AC156" s="0" t="n">
        <v>1</v>
      </c>
      <c r="AD156" s="0" t="n">
        <f aca="false">X156*24</f>
        <v>744</v>
      </c>
      <c r="AE156" s="0" t="n">
        <f aca="false">W156*16</f>
        <v>400</v>
      </c>
      <c r="AF156" s="0" t="n">
        <f aca="false">V156*24+W156*8</f>
        <v>344</v>
      </c>
      <c r="AH156" s="0" t="n">
        <f aca="false">X156*24</f>
        <v>744</v>
      </c>
      <c r="AI156" s="0" t="n">
        <f aca="false">AB156*16</f>
        <v>336</v>
      </c>
      <c r="AJ156" s="0" t="n">
        <f aca="false">AB156*13</f>
        <v>273</v>
      </c>
      <c r="AK156" s="0" t="n">
        <f aca="false">AB156*14</f>
        <v>294</v>
      </c>
      <c r="AL156" s="0" t="n">
        <f aca="false">AB156*8</f>
        <v>168</v>
      </c>
      <c r="AM156" s="0" t="n">
        <f aca="false">AA156*24</f>
        <v>240</v>
      </c>
      <c r="AO156" s="68" t="n">
        <f aca="false">AI156/AH156</f>
        <v>0.451612903225806</v>
      </c>
      <c r="AP156" s="68" t="n">
        <f aca="false">AL156/AH156</f>
        <v>0.225806451612903</v>
      </c>
      <c r="AQ156" s="68" t="n">
        <f aca="false">1-(AO156+AP156)</f>
        <v>0.32258064516129</v>
      </c>
      <c r="AR156" s="48" t="n">
        <f aca="false">AQ156+AP156</f>
        <v>0.548387096774194</v>
      </c>
    </row>
    <row r="157" customFormat="false" ht="12.75" hidden="false" customHeight="false" outlineLevel="0" collapsed="false">
      <c r="A157" s="52" t="n">
        <v>40940</v>
      </c>
      <c r="B157" s="59" t="n">
        <v>35.35</v>
      </c>
      <c r="C157" s="59" t="n">
        <v>26.9428571428571</v>
      </c>
      <c r="D157" s="60" t="n">
        <v>35</v>
      </c>
      <c r="E157" s="60" t="n">
        <v>26.25</v>
      </c>
      <c r="F157" s="60" t="n">
        <f aca="false">((G157*AD157)-(B157*AE157))*(1/AF157)</f>
        <v>26.7888888888889</v>
      </c>
      <c r="G157" s="54" t="n">
        <f aca="false">((Z157*16*E157)+(B157*W157*16)+(X157*8*C157))/(X157*24)</f>
        <v>31.6809523809524</v>
      </c>
      <c r="H157" s="54" t="n">
        <f aca="false">(F157*AF157+B157*AE157)/AD157</f>
        <v>31.6809523809524</v>
      </c>
      <c r="I157" s="54" t="n">
        <f aca="false">B157*$C$5+F157*$C$6</f>
        <v>31.5831111111111</v>
      </c>
      <c r="K157" s="76" t="n">
        <v>4.07887978039182</v>
      </c>
      <c r="M157" s="71" t="n">
        <v>1.325106653194</v>
      </c>
      <c r="N157" s="71" t="n">
        <v>0.06430677102891</v>
      </c>
      <c r="O157" s="35" t="n">
        <f aca="false">1/((1+N157)^((A157-$B$2)/365))</f>
        <v>2.34282714060852</v>
      </c>
      <c r="Q157" s="54" t="n">
        <f aca="false">M157*B157</f>
        <v>46.8425201904079</v>
      </c>
      <c r="R157" s="54" t="n">
        <f aca="false">C157*M157</f>
        <v>35.7021592560555</v>
      </c>
      <c r="S157" s="54" t="n">
        <f aca="false">M157*G157</f>
        <v>41.9806407795223</v>
      </c>
      <c r="T157" s="54" t="n">
        <f aca="false">F157*M157</f>
        <v>35.4981348983415</v>
      </c>
      <c r="V157" s="56" t="n">
        <f aca="false">Z157+AC157</f>
        <v>4</v>
      </c>
      <c r="W157" s="56" t="n">
        <f aca="false">X157-V157</f>
        <v>24</v>
      </c>
      <c r="X157" s="85" t="n">
        <f aca="false">X145</f>
        <v>28</v>
      </c>
      <c r="Y157" s="77" t="n">
        <v>4</v>
      </c>
      <c r="Z157" s="77" t="n">
        <v>4</v>
      </c>
      <c r="AA157" s="85" t="n">
        <f aca="false">AA145</f>
        <v>8</v>
      </c>
      <c r="AB157" s="85" t="n">
        <f aca="false">AB145</f>
        <v>20</v>
      </c>
      <c r="AD157" s="0" t="n">
        <f aca="false">X157*24</f>
        <v>672</v>
      </c>
      <c r="AE157" s="0" t="n">
        <f aca="false">W157*16</f>
        <v>384</v>
      </c>
      <c r="AF157" s="0" t="n">
        <f aca="false">V157*24+W157*8</f>
        <v>288</v>
      </c>
      <c r="AH157" s="0" t="n">
        <f aca="false">X157*24</f>
        <v>672</v>
      </c>
      <c r="AI157" s="0" t="n">
        <f aca="false">AB157*16</f>
        <v>320</v>
      </c>
      <c r="AJ157" s="0" t="n">
        <f aca="false">AB157*13</f>
        <v>260</v>
      </c>
      <c r="AK157" s="0" t="n">
        <f aca="false">AB157*14</f>
        <v>280</v>
      </c>
      <c r="AL157" s="0" t="n">
        <f aca="false">AB157*8</f>
        <v>160</v>
      </c>
      <c r="AM157" s="0" t="n">
        <f aca="false">AA157*24</f>
        <v>192</v>
      </c>
      <c r="AO157" s="68" t="n">
        <f aca="false">AI157/AH157</f>
        <v>0.476190476190476</v>
      </c>
      <c r="AP157" s="68" t="n">
        <f aca="false">AL157/AH157</f>
        <v>0.238095238095238</v>
      </c>
      <c r="AQ157" s="68" t="n">
        <f aca="false">1-(AO157+AP157)</f>
        <v>0.285714285714286</v>
      </c>
      <c r="AR157" s="48" t="n">
        <f aca="false">AQ157+AP157</f>
        <v>0.523809523809524</v>
      </c>
    </row>
    <row r="158" customFormat="false" ht="12.75" hidden="false" customHeight="false" outlineLevel="0" collapsed="false">
      <c r="A158" s="52" t="n">
        <v>40969</v>
      </c>
      <c r="B158" s="59" t="n">
        <v>32.8325</v>
      </c>
      <c r="C158" s="59" t="n">
        <v>25.9129032258065</v>
      </c>
      <c r="D158" s="60" t="n">
        <v>32.9625</v>
      </c>
      <c r="E158" s="60" t="n">
        <v>24.721875</v>
      </c>
      <c r="F158" s="60" t="n">
        <f aca="false">((G158*AD158)-(B158*AE158))*(1/AF158)</f>
        <v>25.6685897435897</v>
      </c>
      <c r="G158" s="54" t="n">
        <f aca="false">((Z158*16*E158)+(B158*W158*16)+(X158*8*C158))/(X158*24)</f>
        <v>29.8282795698925</v>
      </c>
      <c r="H158" s="54" t="n">
        <f aca="false">(F158*AF158+B158*AE158)/AD158</f>
        <v>29.8282795698925</v>
      </c>
      <c r="I158" s="54" t="n">
        <f aca="false">B158*$C$5+F158*$C$6</f>
        <v>29.6803794871795</v>
      </c>
      <c r="K158" s="76" t="n">
        <v>3.9208082383381</v>
      </c>
      <c r="M158" s="71" t="n">
        <v>1.324290177189</v>
      </c>
      <c r="N158" s="71" t="n">
        <v>0.064325766330237</v>
      </c>
      <c r="O158" s="35" t="n">
        <f aca="false">1/((1+N158)^((A158-$B$2)/365))</f>
        <v>2.33181986121344</v>
      </c>
      <c r="Q158" s="54" t="n">
        <f aca="false">M158*B158</f>
        <v>43.4797572425578</v>
      </c>
      <c r="R158" s="54" t="n">
        <f aca="false">C158*M158</f>
        <v>34.3162032043846</v>
      </c>
      <c r="S158" s="54" t="n">
        <f aca="false">M158*G158</f>
        <v>39.5012976368559</v>
      </c>
      <c r="T158" s="54" t="n">
        <f aca="false">F158*M158</f>
        <v>33.9926612597302</v>
      </c>
      <c r="V158" s="56" t="n">
        <f aca="false">Z158+AC158</f>
        <v>4</v>
      </c>
      <c r="W158" s="56" t="n">
        <f aca="false">X158-V158</f>
        <v>27</v>
      </c>
      <c r="X158" s="85" t="n">
        <f aca="false">X146</f>
        <v>31</v>
      </c>
      <c r="Y158" s="77" t="n">
        <v>5</v>
      </c>
      <c r="Z158" s="77" t="n">
        <v>4</v>
      </c>
      <c r="AA158" s="85" t="n">
        <f aca="false">AA146</f>
        <v>8</v>
      </c>
      <c r="AB158" s="85" t="n">
        <f aca="false">AB146</f>
        <v>23</v>
      </c>
      <c r="AD158" s="0" t="n">
        <f aca="false">X158*24</f>
        <v>744</v>
      </c>
      <c r="AE158" s="0" t="n">
        <f aca="false">W158*16</f>
        <v>432</v>
      </c>
      <c r="AF158" s="0" t="n">
        <f aca="false">V158*24+W158*8</f>
        <v>312</v>
      </c>
      <c r="AH158" s="0" t="n">
        <f aca="false">X158*24</f>
        <v>744</v>
      </c>
      <c r="AI158" s="0" t="n">
        <f aca="false">AB158*16</f>
        <v>368</v>
      </c>
      <c r="AJ158" s="0" t="n">
        <f aca="false">AB158*13</f>
        <v>299</v>
      </c>
      <c r="AK158" s="0" t="n">
        <f aca="false">AB158*14</f>
        <v>322</v>
      </c>
      <c r="AL158" s="0" t="n">
        <f aca="false">AB158*8</f>
        <v>184</v>
      </c>
      <c r="AM158" s="0" t="n">
        <f aca="false">AA158*24</f>
        <v>192</v>
      </c>
      <c r="AO158" s="68" t="n">
        <f aca="false">AI158/AH158</f>
        <v>0.494623655913979</v>
      </c>
      <c r="AP158" s="68" t="n">
        <f aca="false">AL158/AH158</f>
        <v>0.247311827956989</v>
      </c>
      <c r="AQ158" s="68" t="n">
        <f aca="false">1-(AO158+AP158)</f>
        <v>0.258064516129032</v>
      </c>
      <c r="AR158" s="48" t="n">
        <f aca="false">AQ158+AP158</f>
        <v>0.505376344086022</v>
      </c>
    </row>
    <row r="159" customFormat="false" ht="12.75" hidden="false" customHeight="false" outlineLevel="0" collapsed="false">
      <c r="A159" s="52" t="n">
        <v>41000</v>
      </c>
      <c r="B159" s="59" t="n">
        <v>30.44</v>
      </c>
      <c r="C159" s="59" t="n">
        <v>23.0041666666667</v>
      </c>
      <c r="D159" s="60" t="n">
        <v>30.51</v>
      </c>
      <c r="E159" s="60" t="n">
        <v>22.8825</v>
      </c>
      <c r="F159" s="60" t="n">
        <f aca="false">((G159*AD159)-(B159*AE159))*(1/AF159)</f>
        <v>22.97375</v>
      </c>
      <c r="G159" s="54" t="n">
        <f aca="false">((Z159*16*E159)+(B159*W159*16)+(X159*8*C159))/(X159*24)</f>
        <v>27.1216666666667</v>
      </c>
      <c r="H159" s="54" t="n">
        <f aca="false">(F159*AF159+B159*AE159)/AD159</f>
        <v>27.1216666666667</v>
      </c>
      <c r="I159" s="54" t="n">
        <f aca="false">B159*$C$5+F159*$C$6</f>
        <v>27.15485</v>
      </c>
      <c r="K159" s="76" t="n">
        <v>3.76278109484213</v>
      </c>
      <c r="M159" s="71" t="n">
        <v>1.323421575995</v>
      </c>
      <c r="N159" s="71" t="n">
        <v>0.064346071652478</v>
      </c>
      <c r="O159" s="35" t="n">
        <f aca="false">1/((1+N159)^((A159-$B$2)/365))</f>
        <v>2.32010335391097</v>
      </c>
      <c r="Q159" s="54" t="n">
        <f aca="false">M159*B159</f>
        <v>40.2849527732878</v>
      </c>
      <c r="R159" s="54" t="n">
        <f aca="false">C159*M159</f>
        <v>30.4442105044516</v>
      </c>
      <c r="S159" s="54" t="n">
        <f aca="false">M159*G159</f>
        <v>35.8933988436111</v>
      </c>
      <c r="T159" s="54" t="n">
        <f aca="false">F159*M159</f>
        <v>30.4039564315151</v>
      </c>
      <c r="V159" s="56" t="n">
        <f aca="false">Z159+AC159</f>
        <v>5</v>
      </c>
      <c r="W159" s="56" t="n">
        <f aca="false">X159-V159</f>
        <v>25</v>
      </c>
      <c r="X159" s="85" t="n">
        <f aca="false">X147</f>
        <v>30</v>
      </c>
      <c r="Y159" s="77" t="n">
        <v>4</v>
      </c>
      <c r="Z159" s="77" t="n">
        <v>5</v>
      </c>
      <c r="AA159" s="85" t="n">
        <f aca="false">AA147</f>
        <v>9</v>
      </c>
      <c r="AB159" s="85" t="n">
        <f aca="false">AB147</f>
        <v>21</v>
      </c>
      <c r="AD159" s="0" t="n">
        <f aca="false">X159*24</f>
        <v>720</v>
      </c>
      <c r="AE159" s="0" t="n">
        <f aca="false">W159*16</f>
        <v>400</v>
      </c>
      <c r="AF159" s="0" t="n">
        <f aca="false">V159*24+W159*8</f>
        <v>320</v>
      </c>
      <c r="AH159" s="0" t="n">
        <f aca="false">X159*24</f>
        <v>720</v>
      </c>
      <c r="AI159" s="0" t="n">
        <f aca="false">AB159*16</f>
        <v>336</v>
      </c>
      <c r="AJ159" s="0" t="n">
        <f aca="false">AB159*13</f>
        <v>273</v>
      </c>
      <c r="AK159" s="0" t="n">
        <f aca="false">AB159*14</f>
        <v>294</v>
      </c>
      <c r="AL159" s="0" t="n">
        <f aca="false">AB159*8</f>
        <v>168</v>
      </c>
      <c r="AM159" s="0" t="n">
        <f aca="false">AA159*24</f>
        <v>216</v>
      </c>
      <c r="AO159" s="68" t="n">
        <f aca="false">AI159/AH159</f>
        <v>0.466666666666667</v>
      </c>
      <c r="AP159" s="68" t="n">
        <f aca="false">AL159/AH159</f>
        <v>0.233333333333333</v>
      </c>
      <c r="AQ159" s="68" t="n">
        <f aca="false">1-(AO159+AP159)</f>
        <v>0.3</v>
      </c>
      <c r="AR159" s="48" t="n">
        <f aca="false">AQ159+AP159</f>
        <v>0.533333333333333</v>
      </c>
    </row>
    <row r="160" customFormat="false" ht="12.75" hidden="false" customHeight="false" outlineLevel="0" collapsed="false">
      <c r="A160" s="52" t="n">
        <v>41030</v>
      </c>
      <c r="B160" s="59" t="n">
        <v>29.19</v>
      </c>
      <c r="C160" s="59" t="n">
        <v>12.391935483871</v>
      </c>
      <c r="D160" s="60" t="n">
        <v>28.61</v>
      </c>
      <c r="E160" s="60" t="n">
        <v>21.4575</v>
      </c>
      <c r="F160" s="60" t="n">
        <f aca="false">((G160*AD160)-(B160*AE160))*(1/AF160)</f>
        <v>13.5563414634146</v>
      </c>
      <c r="G160" s="54" t="n">
        <f aca="false">((Z160*16*E160)+(B160*W160*16)+(X160*8*C160))/(X160*24)</f>
        <v>22.2977419354839</v>
      </c>
      <c r="H160" s="54" t="n">
        <f aca="false">(F160*AF160+B160*AE160)/AD160</f>
        <v>22.2977419354839</v>
      </c>
      <c r="I160" s="54" t="n">
        <f aca="false">B160*$C$5+F160*$C$6</f>
        <v>22.3111902439024</v>
      </c>
      <c r="K160" s="76" t="n">
        <v>3.74007683531772</v>
      </c>
      <c r="M160" s="71" t="n">
        <v>1.322585103015</v>
      </c>
      <c r="N160" s="71" t="n">
        <v>0.064365721964453</v>
      </c>
      <c r="O160" s="35" t="n">
        <f aca="false">1/((1+N160)^((A160-$B$2)/365))</f>
        <v>2.30881371989352</v>
      </c>
      <c r="Q160" s="54" t="n">
        <f aca="false">M160*B160</f>
        <v>38.6062591570079</v>
      </c>
      <c r="R160" s="54" t="n">
        <f aca="false">C160*M160</f>
        <v>16.3893892684907</v>
      </c>
      <c r="S160" s="54" t="n">
        <f aca="false">M160*G160</f>
        <v>29.4906613147438</v>
      </c>
      <c r="T160" s="54" t="n">
        <f aca="false">F160*M160</f>
        <v>17.9294152708968</v>
      </c>
      <c r="V160" s="56" t="n">
        <f aca="false">Z160+AC160</f>
        <v>5</v>
      </c>
      <c r="W160" s="56" t="n">
        <f aca="false">X160-V160</f>
        <v>26</v>
      </c>
      <c r="X160" s="85" t="n">
        <f aca="false">X148</f>
        <v>31</v>
      </c>
      <c r="Y160" s="77" t="n">
        <v>4</v>
      </c>
      <c r="Z160" s="77" t="n">
        <v>4</v>
      </c>
      <c r="AA160" s="85" t="n">
        <f aca="false">AA148</f>
        <v>9</v>
      </c>
      <c r="AB160" s="85" t="n">
        <f aca="false">AB148</f>
        <v>22</v>
      </c>
      <c r="AC160" s="0" t="n">
        <v>1</v>
      </c>
      <c r="AD160" s="0" t="n">
        <f aca="false">X160*24</f>
        <v>744</v>
      </c>
      <c r="AE160" s="0" t="n">
        <f aca="false">W160*16</f>
        <v>416</v>
      </c>
      <c r="AF160" s="0" t="n">
        <f aca="false">V160*24+W160*8</f>
        <v>328</v>
      </c>
      <c r="AH160" s="0" t="n">
        <f aca="false">X160*24</f>
        <v>744</v>
      </c>
      <c r="AI160" s="0" t="n">
        <f aca="false">AB160*16</f>
        <v>352</v>
      </c>
      <c r="AJ160" s="0" t="n">
        <f aca="false">AB160*13</f>
        <v>286</v>
      </c>
      <c r="AK160" s="0" t="n">
        <f aca="false">AB160*14</f>
        <v>308</v>
      </c>
      <c r="AL160" s="0" t="n">
        <f aca="false">AB160*8</f>
        <v>176</v>
      </c>
      <c r="AM160" s="0" t="n">
        <f aca="false">AA160*24</f>
        <v>216</v>
      </c>
      <c r="AO160" s="68" t="n">
        <f aca="false">AI160/AH160</f>
        <v>0.473118279569893</v>
      </c>
      <c r="AP160" s="68" t="n">
        <f aca="false">AL160/AH160</f>
        <v>0.236559139784946</v>
      </c>
      <c r="AQ160" s="68" t="n">
        <f aca="false">1-(AO160+AP160)</f>
        <v>0.290322580645161</v>
      </c>
      <c r="AR160" s="48" t="n">
        <f aca="false">AQ160+AP160</f>
        <v>0.526881720430108</v>
      </c>
    </row>
    <row r="161" customFormat="false" ht="12.75" hidden="false" customHeight="false" outlineLevel="0" collapsed="false">
      <c r="A161" s="52" t="n">
        <v>41061</v>
      </c>
      <c r="B161" s="59" t="n">
        <v>29.44</v>
      </c>
      <c r="C161" s="59" t="n">
        <v>12.4166666666667</v>
      </c>
      <c r="D161" s="60" t="n">
        <v>29.51</v>
      </c>
      <c r="E161" s="60" t="n">
        <v>22.1325</v>
      </c>
      <c r="F161" s="60" t="n">
        <f aca="false">((G161*AD161)-(B161*AE161))*(1/AF161)</f>
        <v>14.4621052631579</v>
      </c>
      <c r="G161" s="54" t="n">
        <f aca="false">((Z161*16*E161)+(B161*W161*16)+(X161*8*C161))/(X161*24)</f>
        <v>23.116</v>
      </c>
      <c r="H161" s="54" t="n">
        <f aca="false">(F161*AF161+B161*AE161)/AD161</f>
        <v>23.116</v>
      </c>
      <c r="I161" s="54" t="n">
        <f aca="false">B161*$C$5+F161*$C$6</f>
        <v>22.8497263157895</v>
      </c>
      <c r="K161" s="76" t="n">
        <v>3.84720726109553</v>
      </c>
      <c r="M161" s="71" t="n">
        <v>1.321724985817</v>
      </c>
      <c r="N161" s="71" t="n">
        <v>0.064386027286963</v>
      </c>
      <c r="O161" s="35" t="n">
        <f aca="false">1/((1+N161)^((A161-$B$2)/365))</f>
        <v>2.29719813917943</v>
      </c>
      <c r="Q161" s="54" t="n">
        <f aca="false">M161*B161</f>
        <v>38.9115835824525</v>
      </c>
      <c r="R161" s="54" t="n">
        <f aca="false">C161*M161</f>
        <v>16.4114185738944</v>
      </c>
      <c r="S161" s="54" t="n">
        <f aca="false">M161*G161</f>
        <v>30.5529947721458</v>
      </c>
      <c r="T161" s="54" t="n">
        <f aca="false">F161*M161</f>
        <v>19.1149258738313</v>
      </c>
      <c r="V161" s="56" t="n">
        <f aca="false">Z161+AC161</f>
        <v>4</v>
      </c>
      <c r="W161" s="56" t="n">
        <f aca="false">X161-V161</f>
        <v>26</v>
      </c>
      <c r="X161" s="85" t="n">
        <f aca="false">X149</f>
        <v>30</v>
      </c>
      <c r="Y161" s="77" t="n">
        <v>5</v>
      </c>
      <c r="Z161" s="77" t="n">
        <v>4</v>
      </c>
      <c r="AA161" s="85" t="n">
        <f aca="false">AA149</f>
        <v>8</v>
      </c>
      <c r="AB161" s="85" t="n">
        <f aca="false">AB149</f>
        <v>22</v>
      </c>
      <c r="AD161" s="0" t="n">
        <f aca="false">X161*24</f>
        <v>720</v>
      </c>
      <c r="AE161" s="0" t="n">
        <f aca="false">W161*16</f>
        <v>416</v>
      </c>
      <c r="AF161" s="0" t="n">
        <f aca="false">V161*24+W161*8</f>
        <v>304</v>
      </c>
      <c r="AH161" s="0" t="n">
        <f aca="false">X161*24</f>
        <v>720</v>
      </c>
      <c r="AI161" s="0" t="n">
        <f aca="false">AB161*16</f>
        <v>352</v>
      </c>
      <c r="AJ161" s="0" t="n">
        <f aca="false">AB161*13</f>
        <v>286</v>
      </c>
      <c r="AK161" s="0" t="n">
        <f aca="false">AB161*14</f>
        <v>308</v>
      </c>
      <c r="AL161" s="0" t="n">
        <f aca="false">AB161*8</f>
        <v>176</v>
      </c>
      <c r="AM161" s="0" t="n">
        <f aca="false">AA161*24</f>
        <v>192</v>
      </c>
      <c r="AO161" s="68" t="n">
        <f aca="false">AI161/AH161</f>
        <v>0.488888888888889</v>
      </c>
      <c r="AP161" s="68" t="n">
        <f aca="false">AL161/AH161</f>
        <v>0.244444444444444</v>
      </c>
      <c r="AQ161" s="68" t="n">
        <f aca="false">1-(AO161+AP161)</f>
        <v>0.266666666666667</v>
      </c>
      <c r="AR161" s="48" t="n">
        <f aca="false">AQ161+AP161</f>
        <v>0.511111111111111</v>
      </c>
    </row>
    <row r="162" customFormat="false" ht="12.75" hidden="false" customHeight="false" outlineLevel="0" collapsed="false">
      <c r="A162" s="52" t="n">
        <v>41091</v>
      </c>
      <c r="B162" s="59" t="n">
        <v>48.94</v>
      </c>
      <c r="C162" s="59" t="n">
        <v>26.0451612903226</v>
      </c>
      <c r="D162" s="60" t="n">
        <v>48.76</v>
      </c>
      <c r="E162" s="60" t="n">
        <v>36.945</v>
      </c>
      <c r="F162" s="60" t="n">
        <f aca="false">((G162*AD162)-(B162*AE162))*(1/AF162)</f>
        <v>27.3686046511628</v>
      </c>
      <c r="G162" s="54" t="n">
        <f aca="false">((Z162*16*E162)+(B162*W162*16)+(X162*8*C162))/(X162*24)</f>
        <v>38.9661290322581</v>
      </c>
      <c r="H162" s="54" t="n">
        <f aca="false">(F162*AF162+B162*AE162)/AD162</f>
        <v>38.9661290322581</v>
      </c>
      <c r="I162" s="54" t="n">
        <f aca="false">B162*$C$5+F162*$C$6</f>
        <v>39.4485860465116</v>
      </c>
      <c r="K162" s="76" t="n">
        <v>3.83205337567466</v>
      </c>
      <c r="M162" s="71" t="n">
        <v>1.320896708625</v>
      </c>
      <c r="N162" s="71" t="n">
        <v>0.064405677599199</v>
      </c>
      <c r="O162" s="35" t="n">
        <f aca="false">1/((1+N162)^((A162-$B$2)/365))</f>
        <v>2.28600583434395</v>
      </c>
      <c r="Q162" s="54" t="n">
        <f aca="false">M162*B162</f>
        <v>64.6446849201075</v>
      </c>
      <c r="R162" s="54" t="n">
        <f aca="false">C162*M162</f>
        <v>34.4029678239944</v>
      </c>
      <c r="S162" s="54" t="n">
        <f aca="false">M162*G162</f>
        <v>51.4702315865667</v>
      </c>
      <c r="T162" s="54" t="n">
        <f aca="false">F162*M162</f>
        <v>36.1510998033798</v>
      </c>
      <c r="V162" s="56" t="n">
        <f aca="false">Z162+AC162</f>
        <v>6</v>
      </c>
      <c r="W162" s="56" t="n">
        <f aca="false">X162-V162</f>
        <v>25</v>
      </c>
      <c r="X162" s="85" t="n">
        <f aca="false">X150</f>
        <v>31</v>
      </c>
      <c r="Y162" s="77" t="n">
        <v>4</v>
      </c>
      <c r="Z162" s="77" t="n">
        <v>5</v>
      </c>
      <c r="AA162" s="85" t="n">
        <f aca="false">AA150</f>
        <v>10</v>
      </c>
      <c r="AB162" s="85" t="n">
        <f aca="false">AB150</f>
        <v>21</v>
      </c>
      <c r="AC162" s="0" t="n">
        <v>1</v>
      </c>
      <c r="AD162" s="0" t="n">
        <f aca="false">X162*24</f>
        <v>744</v>
      </c>
      <c r="AE162" s="0" t="n">
        <f aca="false">W162*16</f>
        <v>400</v>
      </c>
      <c r="AF162" s="0" t="n">
        <f aca="false">V162*24+W162*8</f>
        <v>344</v>
      </c>
      <c r="AH162" s="0" t="n">
        <f aca="false">X162*24</f>
        <v>744</v>
      </c>
      <c r="AI162" s="0" t="n">
        <f aca="false">AB162*16</f>
        <v>336</v>
      </c>
      <c r="AJ162" s="0" t="n">
        <f aca="false">AB162*13</f>
        <v>273</v>
      </c>
      <c r="AK162" s="0" t="n">
        <f aca="false">AB162*14</f>
        <v>294</v>
      </c>
      <c r="AL162" s="0" t="n">
        <f aca="false">AB162*8</f>
        <v>168</v>
      </c>
      <c r="AM162" s="0" t="n">
        <f aca="false">AA162*24</f>
        <v>240</v>
      </c>
      <c r="AO162" s="68" t="n">
        <f aca="false">AI162/AH162</f>
        <v>0.451612903225806</v>
      </c>
      <c r="AP162" s="68" t="n">
        <f aca="false">AL162/AH162</f>
        <v>0.225806451612903</v>
      </c>
      <c r="AQ162" s="68" t="n">
        <f aca="false">1-(AO162+AP162)</f>
        <v>0.32258064516129</v>
      </c>
      <c r="AR162" s="48" t="n">
        <f aca="false">AQ162+AP162</f>
        <v>0.548387096774194</v>
      </c>
    </row>
    <row r="163" customFormat="false" ht="12.75" hidden="false" customHeight="false" outlineLevel="0" collapsed="false">
      <c r="A163" s="52" t="n">
        <v>41122</v>
      </c>
      <c r="B163" s="59" t="n">
        <v>66.44</v>
      </c>
      <c r="C163" s="59" t="n">
        <v>28.0129032258065</v>
      </c>
      <c r="D163" s="60" t="n">
        <v>67.51</v>
      </c>
      <c r="E163" s="60" t="n">
        <v>50.82</v>
      </c>
      <c r="F163" s="60" t="n">
        <f aca="false">((G163*AD163)-(B163*AE163))*(1/AF163)</f>
        <v>32.6912820512821</v>
      </c>
      <c r="G163" s="54" t="n">
        <f aca="false">((Z163*16*E163)+(B163*W163*16)+(X163*8*C163))/(X163*24)</f>
        <v>52.287311827957</v>
      </c>
      <c r="H163" s="54" t="n">
        <f aca="false">(F163*AF163+B163*AE163)/AD163</f>
        <v>52.287311827957</v>
      </c>
      <c r="I163" s="54" t="n">
        <f aca="false">B163*$C$5+F163*$C$6</f>
        <v>51.5905641025641</v>
      </c>
      <c r="K163" s="76" t="n">
        <v>3.82943576332804</v>
      </c>
      <c r="M163" s="71" t="n">
        <v>1.320045045473</v>
      </c>
      <c r="N163" s="71" t="n">
        <v>0.064425982921977</v>
      </c>
      <c r="O163" s="35" t="n">
        <f aca="false">1/((1+N163)^((A163-$B$2)/365))</f>
        <v>2.27449047481799</v>
      </c>
      <c r="Q163" s="54" t="n">
        <f aca="false">M163*B163</f>
        <v>87.7037928212261</v>
      </c>
      <c r="R163" s="54" t="n">
        <f aca="false">C163*M163</f>
        <v>36.9782941125404</v>
      </c>
      <c r="S163" s="54" t="n">
        <f aca="false">M163*G163</f>
        <v>69.0216069195964</v>
      </c>
      <c r="T163" s="54" t="n">
        <f aca="false">F163*M163</f>
        <v>43.1539649019553</v>
      </c>
      <c r="V163" s="56" t="n">
        <f aca="false">Z163+AC163</f>
        <v>4</v>
      </c>
      <c r="W163" s="56" t="n">
        <f aca="false">X163-V163</f>
        <v>27</v>
      </c>
      <c r="X163" s="85" t="n">
        <f aca="false">X151</f>
        <v>31</v>
      </c>
      <c r="Y163" s="77" t="n">
        <v>4</v>
      </c>
      <c r="Z163" s="77" t="n">
        <v>4</v>
      </c>
      <c r="AA163" s="85" t="n">
        <f aca="false">AA151</f>
        <v>8</v>
      </c>
      <c r="AB163" s="85" t="n">
        <f aca="false">AB151</f>
        <v>23</v>
      </c>
      <c r="AD163" s="0" t="n">
        <f aca="false">X163*24</f>
        <v>744</v>
      </c>
      <c r="AE163" s="0" t="n">
        <f aca="false">W163*16</f>
        <v>432</v>
      </c>
      <c r="AF163" s="0" t="n">
        <f aca="false">V163*24+W163*8</f>
        <v>312</v>
      </c>
      <c r="AH163" s="0" t="n">
        <f aca="false">X163*24</f>
        <v>744</v>
      </c>
      <c r="AI163" s="0" t="n">
        <f aca="false">AB163*16</f>
        <v>368</v>
      </c>
      <c r="AJ163" s="0" t="n">
        <f aca="false">AB163*13</f>
        <v>299</v>
      </c>
      <c r="AK163" s="0" t="n">
        <f aca="false">AB163*14</f>
        <v>322</v>
      </c>
      <c r="AL163" s="0" t="n">
        <f aca="false">AB163*8</f>
        <v>184</v>
      </c>
      <c r="AM163" s="0" t="n">
        <f aca="false">AA163*24</f>
        <v>192</v>
      </c>
      <c r="AO163" s="68" t="n">
        <f aca="false">AI163/AH163</f>
        <v>0.494623655913979</v>
      </c>
      <c r="AP163" s="68" t="n">
        <f aca="false">AL163/AH163</f>
        <v>0.247311827956989</v>
      </c>
      <c r="AQ163" s="68" t="n">
        <f aca="false">1-(AO163+AP163)</f>
        <v>0.258064516129032</v>
      </c>
      <c r="AR163" s="48" t="n">
        <f aca="false">AQ163+AP163</f>
        <v>0.505376344086022</v>
      </c>
    </row>
    <row r="164" customFormat="false" ht="12.75" hidden="false" customHeight="false" outlineLevel="0" collapsed="false">
      <c r="A164" s="52" t="n">
        <v>41153</v>
      </c>
      <c r="B164" s="59" t="n">
        <v>64.19</v>
      </c>
      <c r="C164" s="59" t="n">
        <v>26.2</v>
      </c>
      <c r="D164" s="60" t="n">
        <v>63.01</v>
      </c>
      <c r="E164" s="60" t="n">
        <v>47.445</v>
      </c>
      <c r="F164" s="60" t="n">
        <f aca="false">((G164*AD164)-(B164*AE164))*(1/AF164)</f>
        <v>30.0107142857143</v>
      </c>
      <c r="G164" s="54" t="n">
        <f aca="false">((Z164*16*E164)+(B164*W164*16)+(X164*8*C164))/(X164*24)</f>
        <v>48.2396666666667</v>
      </c>
      <c r="H164" s="54" t="n">
        <f aca="false">(F164*AF164+B164*AE164)/AD164</f>
        <v>48.2396666666667</v>
      </c>
      <c r="I164" s="54" t="n">
        <f aca="false">B164*$C$5+F164*$C$6</f>
        <v>49.1511142857143</v>
      </c>
      <c r="K164" s="76" t="n">
        <v>3.80921197490277</v>
      </c>
      <c r="M164" s="71" t="n">
        <v>1.319197667262</v>
      </c>
      <c r="N164" s="71" t="n">
        <v>0.064446288244892</v>
      </c>
      <c r="O164" s="35" t="n">
        <f aca="false">1/((1+N164)^((A164-$B$2)/365))</f>
        <v>2.26302577806139</v>
      </c>
      <c r="Q164" s="54" t="n">
        <f aca="false">M164*B164</f>
        <v>84.6792982615478</v>
      </c>
      <c r="R164" s="54" t="n">
        <f aca="false">C164*M164</f>
        <v>34.5629788822644</v>
      </c>
      <c r="S164" s="54" t="n">
        <f aca="false">M164*G164</f>
        <v>63.6376557361632</v>
      </c>
      <c r="T164" s="54" t="n">
        <f aca="false">F164*M164</f>
        <v>39.5900642785807</v>
      </c>
      <c r="V164" s="56" t="n">
        <f aca="false">Z164+AC164</f>
        <v>6</v>
      </c>
      <c r="W164" s="56" t="n">
        <f aca="false">X164-V164</f>
        <v>24</v>
      </c>
      <c r="X164" s="85" t="n">
        <f aca="false">X152</f>
        <v>30</v>
      </c>
      <c r="Y164" s="77" t="n">
        <v>5</v>
      </c>
      <c r="Z164" s="77" t="n">
        <v>5</v>
      </c>
      <c r="AA164" s="85" t="n">
        <f aca="false">AA152</f>
        <v>8</v>
      </c>
      <c r="AB164" s="85" t="n">
        <f aca="false">AB152</f>
        <v>22</v>
      </c>
      <c r="AC164" s="0" t="n">
        <v>1</v>
      </c>
      <c r="AD164" s="0" t="n">
        <f aca="false">X164*24</f>
        <v>720</v>
      </c>
      <c r="AE164" s="0" t="n">
        <f aca="false">W164*16</f>
        <v>384</v>
      </c>
      <c r="AF164" s="0" t="n">
        <f aca="false">V164*24+W164*8</f>
        <v>336</v>
      </c>
      <c r="AH164" s="0" t="n">
        <f aca="false">X164*24</f>
        <v>720</v>
      </c>
      <c r="AI164" s="0" t="n">
        <f aca="false">AB164*16</f>
        <v>352</v>
      </c>
      <c r="AJ164" s="0" t="n">
        <f aca="false">AB164*13</f>
        <v>286</v>
      </c>
      <c r="AK164" s="0" t="n">
        <f aca="false">AB164*14</f>
        <v>308</v>
      </c>
      <c r="AL164" s="0" t="n">
        <f aca="false">AB164*8</f>
        <v>176</v>
      </c>
      <c r="AM164" s="0" t="n">
        <f aca="false">AA164*24</f>
        <v>192</v>
      </c>
      <c r="AO164" s="68" t="n">
        <f aca="false">AI164/AH164</f>
        <v>0.488888888888889</v>
      </c>
      <c r="AP164" s="68" t="n">
        <f aca="false">AL164/AH164</f>
        <v>0.244444444444444</v>
      </c>
      <c r="AQ164" s="68" t="n">
        <f aca="false">1-(AO164+AP164)</f>
        <v>0.266666666666667</v>
      </c>
      <c r="AR164" s="48" t="n">
        <f aca="false">AQ164+AP164</f>
        <v>0.511111111111111</v>
      </c>
    </row>
    <row r="165" customFormat="false" ht="12.75" hidden="false" customHeight="false" outlineLevel="0" collapsed="false">
      <c r="A165" s="52" t="n">
        <v>41183</v>
      </c>
      <c r="B165" s="59" t="n">
        <v>40.69</v>
      </c>
      <c r="C165" s="59" t="n">
        <v>32.6338709677419</v>
      </c>
      <c r="D165" s="60" t="n">
        <v>41.26</v>
      </c>
      <c r="E165" s="60" t="n">
        <v>30.945</v>
      </c>
      <c r="F165" s="60" t="n">
        <f aca="false">((G165*AD165)-(B165*AE165))*(1/AF165)</f>
        <v>32.2874358974359</v>
      </c>
      <c r="G165" s="54" t="n">
        <f aca="false">((Z165*16*E165)+(B165*W165*16)+(X165*8*C165))/(X165*24)</f>
        <v>37.1663440860215</v>
      </c>
      <c r="H165" s="54" t="n">
        <f aca="false">(F165*AF165+B165*AE165)/AD165</f>
        <v>37.1663440860215</v>
      </c>
      <c r="I165" s="54" t="n">
        <f aca="false">B165*$C$5+F165*$C$6</f>
        <v>36.9928717948718</v>
      </c>
      <c r="K165" s="76" t="n">
        <v>3.82054603131349</v>
      </c>
      <c r="M165" s="71" t="n">
        <v>1.318381696498</v>
      </c>
      <c r="N165" s="71" t="n">
        <v>0.064465938557521</v>
      </c>
      <c r="O165" s="35" t="n">
        <f aca="false">1/((1+N165)^((A165-$B$2)/365))</f>
        <v>2.25197897750926</v>
      </c>
      <c r="Q165" s="54" t="n">
        <f aca="false">M165*B165</f>
        <v>53.6449512305036</v>
      </c>
      <c r="R165" s="54" t="n">
        <f aca="false">C165*M165</f>
        <v>43.0238981697484</v>
      </c>
      <c r="S165" s="54" t="n">
        <f aca="false">M165*G165</f>
        <v>48.9994277687574</v>
      </c>
      <c r="T165" s="54" t="n">
        <f aca="false">F165*M165</f>
        <v>42.567164514032</v>
      </c>
      <c r="V165" s="56" t="n">
        <f aca="false">Z165+AC165</f>
        <v>4</v>
      </c>
      <c r="W165" s="56" t="n">
        <f aca="false">X165-V165</f>
        <v>27</v>
      </c>
      <c r="X165" s="85" t="n">
        <f aca="false">X153</f>
        <v>31</v>
      </c>
      <c r="Y165" s="77" t="n">
        <v>4</v>
      </c>
      <c r="Z165" s="77" t="n">
        <v>4</v>
      </c>
      <c r="AA165" s="85" t="n">
        <f aca="false">AA153</f>
        <v>10</v>
      </c>
      <c r="AB165" s="85" t="n">
        <f aca="false">AB153</f>
        <v>21</v>
      </c>
      <c r="AD165" s="0" t="n">
        <f aca="false">X165*24</f>
        <v>744</v>
      </c>
      <c r="AE165" s="0" t="n">
        <f aca="false">W165*16</f>
        <v>432</v>
      </c>
      <c r="AF165" s="0" t="n">
        <f aca="false">V165*24+W165*8</f>
        <v>312</v>
      </c>
      <c r="AH165" s="0" t="n">
        <f aca="false">X165*24</f>
        <v>744</v>
      </c>
      <c r="AI165" s="0" t="n">
        <f aca="false">AB165*16</f>
        <v>336</v>
      </c>
      <c r="AJ165" s="0" t="n">
        <f aca="false">AB165*13</f>
        <v>273</v>
      </c>
      <c r="AK165" s="0" t="n">
        <f aca="false">AB165*14</f>
        <v>294</v>
      </c>
      <c r="AL165" s="0" t="n">
        <f aca="false">AB165*8</f>
        <v>168</v>
      </c>
      <c r="AM165" s="0" t="n">
        <f aca="false">AA165*24</f>
        <v>240</v>
      </c>
      <c r="AO165" s="68" t="n">
        <f aca="false">AI165/AH165</f>
        <v>0.451612903225806</v>
      </c>
      <c r="AP165" s="68" t="n">
        <f aca="false">AL165/AH165</f>
        <v>0.225806451612903</v>
      </c>
      <c r="AQ165" s="68" t="n">
        <f aca="false">1-(AO165+AP165)</f>
        <v>0.32258064516129</v>
      </c>
      <c r="AR165" s="48" t="n">
        <f aca="false">AQ165+AP165</f>
        <v>0.548387096774194</v>
      </c>
    </row>
    <row r="166" customFormat="false" ht="12.75" hidden="false" customHeight="false" outlineLevel="0" collapsed="false">
      <c r="A166" s="52" t="n">
        <v>41214</v>
      </c>
      <c r="B166" s="59" t="n">
        <v>39.69</v>
      </c>
      <c r="C166" s="59" t="n">
        <v>30.6916666666667</v>
      </c>
      <c r="D166" s="60" t="n">
        <v>40.01</v>
      </c>
      <c r="E166" s="60" t="n">
        <v>30.0075</v>
      </c>
      <c r="F166" s="60" t="n">
        <f aca="false">((G166*AD166)-(B166*AE166))*(1/AF166)</f>
        <v>29.02025</v>
      </c>
      <c r="G166" s="54" t="n">
        <f aca="false">((Z166*16*E166)+(B166*W166*16)+(X166*8*C166))/(X166*24)</f>
        <v>34.9478888888889</v>
      </c>
      <c r="H166" s="54" t="n">
        <f aca="false">(F166*AF166+B166*AE166)/AD166</f>
        <v>34.9478888888889</v>
      </c>
      <c r="I166" s="54" t="n">
        <f aca="false">B166*$C$5+F166*$C$6</f>
        <v>34.99531</v>
      </c>
      <c r="K166" s="76" t="n">
        <v>3.90845031461462</v>
      </c>
      <c r="M166" s="71" t="n">
        <v>1.31754272776</v>
      </c>
      <c r="N166" s="71" t="n">
        <v>0.064486243880704</v>
      </c>
      <c r="O166" s="35" t="n">
        <f aca="false">1/((1+N166)^((A166-$B$2)/365))</f>
        <v>2.24061344408726</v>
      </c>
      <c r="Q166" s="54" t="n">
        <f aca="false">M166*B166</f>
        <v>52.2932708647944</v>
      </c>
      <c r="R166" s="54" t="n">
        <f aca="false">C166*M166</f>
        <v>40.4375822195007</v>
      </c>
      <c r="S166" s="54" t="n">
        <f aca="false">M166*G166</f>
        <v>46.0453368561201</v>
      </c>
      <c r="T166" s="54" t="n">
        <f aca="false">F166*M166</f>
        <v>38.2354193452772</v>
      </c>
      <c r="V166" s="56" t="n">
        <f aca="false">Z166+AC166</f>
        <v>5</v>
      </c>
      <c r="W166" s="56" t="n">
        <f aca="false">X166-V166</f>
        <v>25</v>
      </c>
      <c r="X166" s="85" t="n">
        <f aca="false">X154</f>
        <v>30</v>
      </c>
      <c r="Y166" s="77" t="n">
        <v>4</v>
      </c>
      <c r="Z166" s="77" t="n">
        <v>4</v>
      </c>
      <c r="AA166" s="85" t="n">
        <f aca="false">AA154</f>
        <v>8</v>
      </c>
      <c r="AB166" s="85" t="n">
        <f aca="false">AB154</f>
        <v>22</v>
      </c>
      <c r="AC166" s="0" t="n">
        <v>1</v>
      </c>
      <c r="AD166" s="0" t="n">
        <f aca="false">X166*24</f>
        <v>720</v>
      </c>
      <c r="AE166" s="0" t="n">
        <f aca="false">W166*16</f>
        <v>400</v>
      </c>
      <c r="AF166" s="0" t="n">
        <f aca="false">V166*24+W166*8</f>
        <v>320</v>
      </c>
      <c r="AH166" s="0" t="n">
        <f aca="false">X166*24</f>
        <v>720</v>
      </c>
      <c r="AI166" s="0" t="n">
        <f aca="false">AB166*16</f>
        <v>352</v>
      </c>
      <c r="AJ166" s="0" t="n">
        <f aca="false">AB166*13</f>
        <v>286</v>
      </c>
      <c r="AK166" s="0" t="n">
        <f aca="false">AB166*14</f>
        <v>308</v>
      </c>
      <c r="AL166" s="0" t="n">
        <f aca="false">AB166*8</f>
        <v>176</v>
      </c>
      <c r="AM166" s="0" t="n">
        <f aca="false">AA166*24</f>
        <v>192</v>
      </c>
      <c r="AO166" s="68" t="n">
        <f aca="false">AI166/AH166</f>
        <v>0.488888888888889</v>
      </c>
      <c r="AP166" s="68" t="n">
        <f aca="false">AL166/AH166</f>
        <v>0.244444444444444</v>
      </c>
      <c r="AQ166" s="68" t="n">
        <f aca="false">1-(AO166+AP166)</f>
        <v>0.266666666666667</v>
      </c>
      <c r="AR166" s="48" t="n">
        <f aca="false">AQ166+AP166</f>
        <v>0.511111111111111</v>
      </c>
    </row>
    <row r="167" customFormat="false" ht="12.75" hidden="false" customHeight="false" outlineLevel="0" collapsed="false">
      <c r="A167" s="52" t="n">
        <v>41244</v>
      </c>
      <c r="B167" s="59" t="n">
        <v>39.94</v>
      </c>
      <c r="C167" s="59" t="n">
        <v>30.6661290322581</v>
      </c>
      <c r="D167" s="60" t="n">
        <v>40.26</v>
      </c>
      <c r="E167" s="60" t="n">
        <v>30.195</v>
      </c>
      <c r="F167" s="60" t="n">
        <f aca="false">((G167*AD167)-(B167*AE167))*(1/AF167)</f>
        <v>29.1302325581395</v>
      </c>
      <c r="G167" s="54" t="n">
        <f aca="false">((Z167*16*E167)+(B167*W167*16)+(X167*8*C167))/(X167*24)</f>
        <v>34.941935483871</v>
      </c>
      <c r="H167" s="54" t="n">
        <f aca="false">(F167*AF167+B167*AE167)/AD167</f>
        <v>34.941935483871</v>
      </c>
      <c r="I167" s="54" t="n">
        <f aca="false">B167*$C$5+F167*$C$6</f>
        <v>35.1837023255814</v>
      </c>
      <c r="K167" s="76" t="n">
        <v>4.01265788192818</v>
      </c>
      <c r="M167" s="71" t="n">
        <v>1.316734881048</v>
      </c>
      <c r="N167" s="71" t="n">
        <v>0.064505894193594</v>
      </c>
      <c r="O167" s="35" t="n">
        <f aca="false">1/((1+N167)^((A167-$B$2)/365))</f>
        <v>2.22966227021248</v>
      </c>
      <c r="Q167" s="54" t="n">
        <f aca="false">M167*B167</f>
        <v>52.5903911490571</v>
      </c>
      <c r="R167" s="54" t="n">
        <f aca="false">C167*M167</f>
        <v>40.379161763493</v>
      </c>
      <c r="S167" s="54" t="n">
        <f aca="false">M167*G167</f>
        <v>46.0092652629417</v>
      </c>
      <c r="T167" s="54" t="n">
        <f aca="false">F167*M167</f>
        <v>38.3567933023425</v>
      </c>
      <c r="V167" s="56" t="n">
        <f aca="false">Z167+AC167</f>
        <v>6</v>
      </c>
      <c r="W167" s="56" t="n">
        <f aca="false">X167-V167</f>
        <v>25</v>
      </c>
      <c r="X167" s="85" t="n">
        <f aca="false">X155</f>
        <v>31</v>
      </c>
      <c r="Y167" s="77" t="n">
        <v>5</v>
      </c>
      <c r="Z167" s="77" t="n">
        <v>5</v>
      </c>
      <c r="AA167" s="85" t="n">
        <f aca="false">AA155</f>
        <v>9</v>
      </c>
      <c r="AB167" s="85" t="n">
        <f aca="false">AB155</f>
        <v>22</v>
      </c>
      <c r="AC167" s="0" t="n">
        <v>1</v>
      </c>
      <c r="AD167" s="0" t="n">
        <f aca="false">X167*24</f>
        <v>744</v>
      </c>
      <c r="AE167" s="0" t="n">
        <f aca="false">W167*16</f>
        <v>400</v>
      </c>
      <c r="AF167" s="0" t="n">
        <f aca="false">V167*24+W167*8</f>
        <v>344</v>
      </c>
      <c r="AH167" s="0" t="n">
        <f aca="false">X167*24</f>
        <v>744</v>
      </c>
      <c r="AI167" s="0" t="n">
        <f aca="false">AB167*16</f>
        <v>352</v>
      </c>
      <c r="AJ167" s="0" t="n">
        <f aca="false">AB167*13</f>
        <v>286</v>
      </c>
      <c r="AK167" s="0" t="n">
        <f aca="false">AB167*14</f>
        <v>308</v>
      </c>
      <c r="AL167" s="0" t="n">
        <f aca="false">AB167*8</f>
        <v>176</v>
      </c>
      <c r="AM167" s="0" t="n">
        <f aca="false">AA167*24</f>
        <v>216</v>
      </c>
      <c r="AO167" s="68" t="n">
        <f aca="false">AI167/AH167</f>
        <v>0.473118279569893</v>
      </c>
      <c r="AP167" s="68" t="n">
        <f aca="false">AL167/AH167</f>
        <v>0.236559139784946</v>
      </c>
      <c r="AQ167" s="68" t="n">
        <f aca="false">1-(AO167+AP167)</f>
        <v>0.290322580645161</v>
      </c>
      <c r="AR167" s="48" t="n">
        <f aca="false">AQ167+AP167</f>
        <v>0.526881720430108</v>
      </c>
    </row>
    <row r="168" customFormat="false" ht="12.75" hidden="false" customHeight="false" outlineLevel="0" collapsed="false">
      <c r="A168" s="52" t="n">
        <v>41275</v>
      </c>
      <c r="B168" s="59" t="n">
        <v>35.95</v>
      </c>
      <c r="C168" s="59" t="n">
        <v>28.8741935483871</v>
      </c>
      <c r="D168" s="60" t="n">
        <v>36.1</v>
      </c>
      <c r="E168" s="60" t="n">
        <v>27.075</v>
      </c>
      <c r="F168" s="60" t="n">
        <f aca="false">((G168*AD168)-(B168*AE168))*(1/AF168)</f>
        <v>27.1146341463415</v>
      </c>
      <c r="G168" s="54" t="n">
        <f aca="false">((Z168*16*E168)+(B168*W168*16)+(X168*8*C168))/(X168*24)</f>
        <v>32.0548387096774</v>
      </c>
      <c r="H168" s="54" t="n">
        <f aca="false">(F168*AF168+B168*AE168)/AD168</f>
        <v>32.0548387096774</v>
      </c>
      <c r="I168" s="54" t="n">
        <f aca="false">B168*$C$5+F168*$C$6</f>
        <v>32.0624390243902</v>
      </c>
      <c r="K168" s="76" t="n">
        <v>4.27227844310935</v>
      </c>
      <c r="M168" s="71" t="n">
        <v>1.315904292625</v>
      </c>
      <c r="N168" s="71" t="n">
        <v>0.064526199517047</v>
      </c>
      <c r="O168" s="35" t="n">
        <f aca="false">1/((1+N168)^((A168-$B$2)/365))</f>
        <v>2.21839520272541</v>
      </c>
      <c r="Q168" s="54" t="n">
        <f aca="false">M168*B168</f>
        <v>47.3067593198688</v>
      </c>
      <c r="R168" s="54" t="n">
        <f aca="false">C168*M168</f>
        <v>37.9956752364077</v>
      </c>
      <c r="S168" s="54" t="n">
        <f aca="false">M168*G168</f>
        <v>42.1810998574665</v>
      </c>
      <c r="T168" s="54" t="n">
        <f aca="false">F168*M168</f>
        <v>35.6802634661271</v>
      </c>
      <c r="V168" s="56" t="n">
        <f aca="false">Z168+AC168</f>
        <v>5</v>
      </c>
      <c r="W168" s="56" t="n">
        <f aca="false">X168-V168</f>
        <v>26</v>
      </c>
      <c r="X168" s="85" t="n">
        <f aca="false">X156</f>
        <v>31</v>
      </c>
      <c r="Y168" s="78" t="n">
        <v>4</v>
      </c>
      <c r="Z168" s="78" t="n">
        <v>4</v>
      </c>
      <c r="AA168" s="85" t="n">
        <f aca="false">AA156</f>
        <v>10</v>
      </c>
      <c r="AB168" s="85" t="n">
        <f aca="false">AB156</f>
        <v>21</v>
      </c>
      <c r="AC168" s="0" t="n">
        <v>1</v>
      </c>
      <c r="AD168" s="0" t="n">
        <f aca="false">X168*24</f>
        <v>744</v>
      </c>
      <c r="AE168" s="0" t="n">
        <f aca="false">W168*16</f>
        <v>416</v>
      </c>
      <c r="AF168" s="0" t="n">
        <f aca="false">V168*24+W168*8</f>
        <v>328</v>
      </c>
      <c r="AH168" s="0" t="n">
        <f aca="false">X168*24</f>
        <v>744</v>
      </c>
      <c r="AI168" s="0" t="n">
        <f aca="false">AB168*16</f>
        <v>336</v>
      </c>
      <c r="AJ168" s="0" t="n">
        <f aca="false">AB168*13</f>
        <v>273</v>
      </c>
      <c r="AK168" s="0" t="n">
        <f aca="false">AB168*14</f>
        <v>294</v>
      </c>
      <c r="AL168" s="0" t="n">
        <f aca="false">AB168*8</f>
        <v>168</v>
      </c>
      <c r="AM168" s="0" t="n">
        <f aca="false">AA168*24</f>
        <v>240</v>
      </c>
      <c r="AO168" s="68" t="n">
        <f aca="false">AI168/AH168</f>
        <v>0.451612903225806</v>
      </c>
      <c r="AP168" s="68" t="n">
        <f aca="false">AL168/AH168</f>
        <v>0.225806451612903</v>
      </c>
      <c r="AQ168" s="68" t="n">
        <f aca="false">1-(AO168+AP168)</f>
        <v>0.32258064516129</v>
      </c>
      <c r="AR168" s="48" t="n">
        <f aca="false">AQ168+AP168</f>
        <v>0.548387096774194</v>
      </c>
    </row>
    <row r="169" customFormat="false" ht="12.75" hidden="false" customHeight="false" outlineLevel="0" collapsed="false">
      <c r="A169" s="52" t="n">
        <v>41306</v>
      </c>
      <c r="B169" s="59" t="n">
        <v>35.45</v>
      </c>
      <c r="C169" s="59" t="n">
        <v>26.9928571428571</v>
      </c>
      <c r="D169" s="60" t="n">
        <v>35.1</v>
      </c>
      <c r="E169" s="60" t="n">
        <v>26.325</v>
      </c>
      <c r="F169" s="60" t="n">
        <f aca="false">((G169*AD169)-(B169*AE169))*(1/AF169)</f>
        <v>26.8444444444444</v>
      </c>
      <c r="G169" s="54" t="n">
        <f aca="false">((Z169*16*E169)+(B169*W169*16)+(X169*8*C169))/(X169*24)</f>
        <v>31.7619047619048</v>
      </c>
      <c r="H169" s="54" t="n">
        <f aca="false">(F169*AF169+B169*AE169)/AD169</f>
        <v>31.7619047619048</v>
      </c>
      <c r="I169" s="54" t="n">
        <f aca="false">B169*$C$5+F169*$C$6</f>
        <v>31.6635555555556</v>
      </c>
      <c r="K169" s="76" t="n">
        <v>4.16030632689417</v>
      </c>
      <c r="M169" s="71" t="n">
        <v>1.315077951976</v>
      </c>
      <c r="N169" s="71" t="n">
        <v>0.064546504840636</v>
      </c>
      <c r="O169" s="35" t="n">
        <f aca="false">1/((1+N169)^((A169-$B$2)/365))</f>
        <v>2.20717790906288</v>
      </c>
      <c r="Q169" s="54" t="n">
        <f aca="false">M169*B169</f>
        <v>46.6195133975492</v>
      </c>
      <c r="R169" s="54" t="n">
        <f aca="false">C169*M169</f>
        <v>35.4977112894093</v>
      </c>
      <c r="S169" s="54" t="n">
        <f aca="false">M169*G169</f>
        <v>41.7693806651425</v>
      </c>
      <c r="T169" s="54" t="n">
        <f aca="false">F169*M169</f>
        <v>35.3025370219335</v>
      </c>
      <c r="V169" s="56" t="n">
        <f aca="false">Z169+AC169</f>
        <v>4</v>
      </c>
      <c r="W169" s="56" t="n">
        <f aca="false">X169-V169</f>
        <v>24</v>
      </c>
      <c r="X169" s="85" t="n">
        <f aca="false">X157</f>
        <v>28</v>
      </c>
      <c r="Y169" s="77" t="n">
        <v>4</v>
      </c>
      <c r="Z169" s="77" t="n">
        <v>4</v>
      </c>
      <c r="AA169" s="85" t="n">
        <f aca="false">AA157</f>
        <v>8</v>
      </c>
      <c r="AB169" s="85" t="n">
        <f aca="false">AB157</f>
        <v>20</v>
      </c>
      <c r="AD169" s="0" t="n">
        <f aca="false">X169*24</f>
        <v>672</v>
      </c>
      <c r="AE169" s="0" t="n">
        <f aca="false">W169*16</f>
        <v>384</v>
      </c>
      <c r="AF169" s="0" t="n">
        <f aca="false">V169*24+W169*8</f>
        <v>288</v>
      </c>
      <c r="AH169" s="0" t="n">
        <f aca="false">X169*24</f>
        <v>672</v>
      </c>
      <c r="AI169" s="0" t="n">
        <f aca="false">AB169*16</f>
        <v>320</v>
      </c>
      <c r="AJ169" s="0" t="n">
        <f aca="false">AB169*13</f>
        <v>260</v>
      </c>
      <c r="AK169" s="0" t="n">
        <f aca="false">AB169*14</f>
        <v>280</v>
      </c>
      <c r="AL169" s="0" t="n">
        <f aca="false">AB169*8</f>
        <v>160</v>
      </c>
      <c r="AM169" s="0" t="n">
        <f aca="false">AA169*24</f>
        <v>192</v>
      </c>
      <c r="AO169" s="68" t="n">
        <f aca="false">AI169/AH169</f>
        <v>0.476190476190476</v>
      </c>
      <c r="AP169" s="68" t="n">
        <f aca="false">AL169/AH169</f>
        <v>0.238095238095238</v>
      </c>
      <c r="AQ169" s="68" t="n">
        <f aca="false">1-(AO169+AP169)</f>
        <v>0.285714285714286</v>
      </c>
      <c r="AR169" s="48" t="n">
        <f aca="false">AQ169+AP169</f>
        <v>0.523809523809524</v>
      </c>
    </row>
    <row r="170" customFormat="false" ht="12.75" hidden="false" customHeight="false" outlineLevel="0" collapsed="false">
      <c r="A170" s="52" t="n">
        <v>41334</v>
      </c>
      <c r="B170" s="59" t="n">
        <v>32.9275</v>
      </c>
      <c r="C170" s="59" t="n">
        <v>25.9629032258065</v>
      </c>
      <c r="D170" s="60" t="n">
        <v>33.0575</v>
      </c>
      <c r="E170" s="60" t="n">
        <v>24.793125</v>
      </c>
      <c r="F170" s="60" t="n">
        <f aca="false">((G170*AD170)-(B170*AE170))*(1/AF170)</f>
        <v>25.6775914634146</v>
      </c>
      <c r="G170" s="54" t="n">
        <f aca="false">((Z170*16*E170)+(B170*W170*16)+(X170*8*C170))/(X170*24)</f>
        <v>29.7313037634409</v>
      </c>
      <c r="H170" s="54" t="n">
        <f aca="false">(F170*AF170+B170*AE170)/AD170</f>
        <v>29.7313037634409</v>
      </c>
      <c r="I170" s="54" t="n">
        <f aca="false">B170*$C$5+F170*$C$6</f>
        <v>29.7375402439024</v>
      </c>
      <c r="K170" s="76" t="n">
        <v>4.00738759213902</v>
      </c>
      <c r="M170" s="71" t="n">
        <v>1.314335224665</v>
      </c>
      <c r="N170" s="71" t="n">
        <v>0.064564845133029</v>
      </c>
      <c r="O170" s="35" t="n">
        <f aca="false">1/((1+N170)^((A170-$B$2)/365))</f>
        <v>2.19708879282256</v>
      </c>
      <c r="Q170" s="54" t="n">
        <f aca="false">M170*B170</f>
        <v>43.2777731101568</v>
      </c>
      <c r="R170" s="54" t="n">
        <f aca="false">C170*M170</f>
        <v>34.123958244246</v>
      </c>
      <c r="S170" s="54" t="n">
        <f aca="false">M170*G170</f>
        <v>39.0768998115054</v>
      </c>
      <c r="T170" s="54" t="n">
        <f aca="false">F170*M170</f>
        <v>33.7489629449232</v>
      </c>
      <c r="V170" s="56" t="n">
        <f aca="false">Z170+AC170</f>
        <v>5</v>
      </c>
      <c r="W170" s="56" t="n">
        <f aca="false">X170-V170</f>
        <v>26</v>
      </c>
      <c r="X170" s="85" t="n">
        <f aca="false">X158</f>
        <v>31</v>
      </c>
      <c r="Y170" s="77" t="n">
        <v>5</v>
      </c>
      <c r="Z170" s="77" t="n">
        <v>5</v>
      </c>
      <c r="AA170" s="85" t="n">
        <f aca="false">AA158</f>
        <v>8</v>
      </c>
      <c r="AB170" s="85" t="n">
        <f aca="false">AB158</f>
        <v>23</v>
      </c>
      <c r="AD170" s="0" t="n">
        <f aca="false">X170*24</f>
        <v>744</v>
      </c>
      <c r="AE170" s="0" t="n">
        <f aca="false">W170*16</f>
        <v>416</v>
      </c>
      <c r="AF170" s="0" t="n">
        <f aca="false">V170*24+W170*8</f>
        <v>328</v>
      </c>
      <c r="AH170" s="0" t="n">
        <f aca="false">X170*24</f>
        <v>744</v>
      </c>
      <c r="AI170" s="0" t="n">
        <f aca="false">AB170*16</f>
        <v>368</v>
      </c>
      <c r="AJ170" s="0" t="n">
        <f aca="false">AB170*13</f>
        <v>299</v>
      </c>
      <c r="AK170" s="0" t="n">
        <f aca="false">AB170*14</f>
        <v>322</v>
      </c>
      <c r="AL170" s="0" t="n">
        <f aca="false">AB170*8</f>
        <v>184</v>
      </c>
      <c r="AM170" s="0" t="n">
        <f aca="false">AA170*24</f>
        <v>192</v>
      </c>
      <c r="AO170" s="68" t="n">
        <f aca="false">AI170/AH170</f>
        <v>0.494623655913979</v>
      </c>
      <c r="AP170" s="68" t="n">
        <f aca="false">AL170/AH170</f>
        <v>0.247311827956989</v>
      </c>
      <c r="AQ170" s="68" t="n">
        <f aca="false">1-(AO170+AP170)</f>
        <v>0.258064516129032</v>
      </c>
      <c r="AR170" s="48" t="n">
        <f aca="false">AQ170+AP170</f>
        <v>0.505376344086022</v>
      </c>
    </row>
    <row r="171" customFormat="false" ht="12.75" hidden="false" customHeight="false" outlineLevel="0" collapsed="false">
      <c r="A171" s="52" t="n">
        <v>41365</v>
      </c>
      <c r="B171" s="59" t="n">
        <v>30.535</v>
      </c>
      <c r="C171" s="59" t="n">
        <v>23.0541666666667</v>
      </c>
      <c r="D171" s="60" t="n">
        <v>30.605</v>
      </c>
      <c r="E171" s="60" t="n">
        <v>22.95375</v>
      </c>
      <c r="F171" s="60" t="n">
        <f aca="false">((G171*AD171)-(B171*AE171))*(1/AF171)</f>
        <v>23.0330263157895</v>
      </c>
      <c r="G171" s="54" t="n">
        <f aca="false">((Z171*16*E171)+(B171*W171*16)+(X171*8*C171))/(X171*24)</f>
        <v>27.3675</v>
      </c>
      <c r="H171" s="54" t="n">
        <f aca="false">(F171*AF171+B171*AE171)/AD171</f>
        <v>27.3675</v>
      </c>
      <c r="I171" s="54" t="n">
        <f aca="false">B171*$C$5+F171*$C$6</f>
        <v>27.2341315789474</v>
      </c>
      <c r="K171" s="76" t="n">
        <v>3.85441226605803</v>
      </c>
      <c r="M171" s="71" t="n">
        <v>1.313516948054</v>
      </c>
      <c r="N171" s="71" t="n">
        <v>0.064585150456879</v>
      </c>
      <c r="O171" s="35" t="n">
        <f aca="false">1/((1+N171)^((A171-$B$2)/365))</f>
        <v>2.18596573617022</v>
      </c>
      <c r="Q171" s="54" t="n">
        <f aca="false">M171*B171</f>
        <v>40.1082400088289</v>
      </c>
      <c r="R171" s="54" t="n">
        <f aca="false">C171*M171</f>
        <v>30.2820386399283</v>
      </c>
      <c r="S171" s="54" t="n">
        <f aca="false">M171*G171</f>
        <v>35.9476750758679</v>
      </c>
      <c r="T171" s="54" t="n">
        <f aca="false">F171*M171</f>
        <v>30.2542704307633</v>
      </c>
      <c r="V171" s="56" t="n">
        <f aca="false">Z171+AC171</f>
        <v>4</v>
      </c>
      <c r="W171" s="56" t="n">
        <f aca="false">X171-V171</f>
        <v>26</v>
      </c>
      <c r="X171" s="85" t="n">
        <f aca="false">X159</f>
        <v>30</v>
      </c>
      <c r="Y171" s="77" t="n">
        <v>4</v>
      </c>
      <c r="Z171" s="77" t="n">
        <v>4</v>
      </c>
      <c r="AA171" s="85" t="n">
        <f aca="false">AA159</f>
        <v>9</v>
      </c>
      <c r="AB171" s="85" t="n">
        <f aca="false">AB159</f>
        <v>21</v>
      </c>
      <c r="AD171" s="0" t="n">
        <f aca="false">X171*24</f>
        <v>720</v>
      </c>
      <c r="AE171" s="0" t="n">
        <f aca="false">W171*16</f>
        <v>416</v>
      </c>
      <c r="AF171" s="0" t="n">
        <f aca="false">V171*24+W171*8</f>
        <v>304</v>
      </c>
      <c r="AH171" s="0" t="n">
        <f aca="false">X171*24</f>
        <v>720</v>
      </c>
      <c r="AI171" s="0" t="n">
        <f aca="false">AB171*16</f>
        <v>336</v>
      </c>
      <c r="AJ171" s="0" t="n">
        <f aca="false">AB171*13</f>
        <v>273</v>
      </c>
      <c r="AK171" s="0" t="n">
        <f aca="false">AB171*14</f>
        <v>294</v>
      </c>
      <c r="AL171" s="0" t="n">
        <f aca="false">AB171*8</f>
        <v>168</v>
      </c>
      <c r="AM171" s="0" t="n">
        <f aca="false">AA171*24</f>
        <v>216</v>
      </c>
      <c r="AO171" s="68" t="n">
        <f aca="false">AI171/AH171</f>
        <v>0.466666666666667</v>
      </c>
      <c r="AP171" s="68" t="n">
        <f aca="false">AL171/AH171</f>
        <v>0.233333333333333</v>
      </c>
      <c r="AQ171" s="68" t="n">
        <f aca="false">1-(AO171+AP171)</f>
        <v>0.3</v>
      </c>
      <c r="AR171" s="48" t="n">
        <f aca="false">AQ171+AP171</f>
        <v>0.533333333333333</v>
      </c>
    </row>
    <row r="172" customFormat="false" ht="12.75" hidden="false" customHeight="false" outlineLevel="0" collapsed="false">
      <c r="A172" s="52" t="n">
        <v>41395</v>
      </c>
      <c r="B172" s="59" t="n">
        <v>29.285</v>
      </c>
      <c r="C172" s="59" t="n">
        <v>12.441935483871</v>
      </c>
      <c r="D172" s="60" t="n">
        <v>28.705</v>
      </c>
      <c r="E172" s="60" t="n">
        <v>21.52875</v>
      </c>
      <c r="F172" s="60" t="n">
        <f aca="false">((G172*AD172)-(B172*AE172))*(1/AF172)</f>
        <v>13.6080487804878</v>
      </c>
      <c r="G172" s="54" t="n">
        <f aca="false">((Z172*16*E172)+(B172*W172*16)+(X172*8*C172))/(X172*24)</f>
        <v>22.3736559139785</v>
      </c>
      <c r="H172" s="54" t="n">
        <f aca="false">(F172*AF172+B172*AE172)/AD172</f>
        <v>22.3736559139785</v>
      </c>
      <c r="I172" s="54" t="n">
        <f aca="false">B172*$C$5+F172*$C$6</f>
        <v>22.3871414634146</v>
      </c>
      <c r="K172" s="76" t="n">
        <v>3.83317070914482</v>
      </c>
      <c r="M172" s="71" t="n">
        <v>1.312729091611</v>
      </c>
      <c r="N172" s="71" t="n">
        <v>0.064604800770412</v>
      </c>
      <c r="O172" s="35" t="n">
        <f aca="false">1/((1+N172)^((A172-$B$2)/365))</f>
        <v>2.17524838759581</v>
      </c>
      <c r="Q172" s="54" t="n">
        <f aca="false">M172*B172</f>
        <v>38.4432714478281</v>
      </c>
      <c r="R172" s="54" t="n">
        <f aca="false">C172*M172</f>
        <v>16.3328906656246</v>
      </c>
      <c r="S172" s="54" t="n">
        <f aca="false">M172*G172</f>
        <v>29.3705490039741</v>
      </c>
      <c r="T172" s="54" t="n">
        <f aca="false">F172*M172</f>
        <v>17.8636815142079</v>
      </c>
      <c r="V172" s="56" t="n">
        <f aca="false">Z172+AC172</f>
        <v>5</v>
      </c>
      <c r="W172" s="56" t="n">
        <f aca="false">X172-V172</f>
        <v>26</v>
      </c>
      <c r="X172" s="85" t="n">
        <f aca="false">X160</f>
        <v>31</v>
      </c>
      <c r="Y172" s="77" t="n">
        <v>4</v>
      </c>
      <c r="Z172" s="77" t="n">
        <v>4</v>
      </c>
      <c r="AA172" s="85" t="n">
        <f aca="false">AA160</f>
        <v>9</v>
      </c>
      <c r="AB172" s="85" t="n">
        <f aca="false">AB160</f>
        <v>22</v>
      </c>
      <c r="AC172" s="0" t="n">
        <v>1</v>
      </c>
      <c r="AD172" s="0" t="n">
        <f aca="false">X172*24</f>
        <v>744</v>
      </c>
      <c r="AE172" s="0" t="n">
        <f aca="false">W172*16</f>
        <v>416</v>
      </c>
      <c r="AF172" s="0" t="n">
        <f aca="false">V172*24+W172*8</f>
        <v>328</v>
      </c>
      <c r="AH172" s="0" t="n">
        <f aca="false">X172*24</f>
        <v>744</v>
      </c>
      <c r="AI172" s="0" t="n">
        <f aca="false">AB172*16</f>
        <v>352</v>
      </c>
      <c r="AJ172" s="0" t="n">
        <f aca="false">AB172*13</f>
        <v>286</v>
      </c>
      <c r="AK172" s="0" t="n">
        <f aca="false">AB172*14</f>
        <v>308</v>
      </c>
      <c r="AL172" s="0" t="n">
        <f aca="false">AB172*8</f>
        <v>176</v>
      </c>
      <c r="AM172" s="0" t="n">
        <f aca="false">AA172*24</f>
        <v>216</v>
      </c>
      <c r="AO172" s="68" t="n">
        <f aca="false">AI172/AH172</f>
        <v>0.473118279569893</v>
      </c>
      <c r="AP172" s="68" t="n">
        <f aca="false">AL172/AH172</f>
        <v>0.236559139784946</v>
      </c>
      <c r="AQ172" s="68" t="n">
        <f aca="false">1-(AO172+AP172)</f>
        <v>0.290322580645161</v>
      </c>
      <c r="AR172" s="48" t="n">
        <f aca="false">AQ172+AP172</f>
        <v>0.526881720430108</v>
      </c>
    </row>
    <row r="173" customFormat="false" ht="12.75" hidden="false" customHeight="false" outlineLevel="0" collapsed="false">
      <c r="A173" s="52" t="n">
        <v>41426</v>
      </c>
      <c r="B173" s="59" t="n">
        <v>29.535</v>
      </c>
      <c r="C173" s="59" t="n">
        <v>12.4666666666667</v>
      </c>
      <c r="D173" s="60" t="n">
        <v>29.605</v>
      </c>
      <c r="E173" s="60" t="n">
        <v>22.20375</v>
      </c>
      <c r="F173" s="60" t="n">
        <f aca="false">((G173*AD173)-(B173*AE173))*(1/AF173)</f>
        <v>14.9009375</v>
      </c>
      <c r="G173" s="54" t="n">
        <f aca="false">((Z173*16*E173)+(B173*W173*16)+(X173*8*C173))/(X173*24)</f>
        <v>23.0309722222222</v>
      </c>
      <c r="H173" s="54" t="n">
        <f aca="false">(F173*AF173+B173*AE173)/AD173</f>
        <v>23.0309722222222</v>
      </c>
      <c r="I173" s="54" t="n">
        <f aca="false">B173*$C$5+F173*$C$6</f>
        <v>23.0960125</v>
      </c>
      <c r="K173" s="76" t="n">
        <v>3.94073899852889</v>
      </c>
      <c r="M173" s="71" t="n">
        <v>1.311919124477</v>
      </c>
      <c r="N173" s="71" t="n">
        <v>0.064625106094531</v>
      </c>
      <c r="O173" s="35" t="n">
        <f aca="false">1/((1+N173)^((A173-$B$2)/365))</f>
        <v>2.16422208428478</v>
      </c>
      <c r="Q173" s="54" t="n">
        <f aca="false">M173*B173</f>
        <v>38.7475313414282</v>
      </c>
      <c r="R173" s="54" t="n">
        <f aca="false">C173*M173</f>
        <v>16.3552584184799</v>
      </c>
      <c r="S173" s="54" t="n">
        <f aca="false">M173*G173</f>
        <v>30.2147729136319</v>
      </c>
      <c r="T173" s="54" t="n">
        <f aca="false">F173*M173</f>
        <v>19.5488248788865</v>
      </c>
      <c r="V173" s="56" t="n">
        <f aca="false">Z173+AC173</f>
        <v>5</v>
      </c>
      <c r="W173" s="56" t="n">
        <f aca="false">X173-V173</f>
        <v>25</v>
      </c>
      <c r="X173" s="85" t="n">
        <f aca="false">X161</f>
        <v>30</v>
      </c>
      <c r="Y173" s="77" t="n">
        <v>5</v>
      </c>
      <c r="Z173" s="77" t="n">
        <v>5</v>
      </c>
      <c r="AA173" s="85" t="n">
        <f aca="false">AA161</f>
        <v>8</v>
      </c>
      <c r="AB173" s="85" t="n">
        <f aca="false">AB161</f>
        <v>22</v>
      </c>
      <c r="AD173" s="0" t="n">
        <f aca="false">X173*24</f>
        <v>720</v>
      </c>
      <c r="AE173" s="0" t="n">
        <f aca="false">W173*16</f>
        <v>400</v>
      </c>
      <c r="AF173" s="0" t="n">
        <f aca="false">V173*24+W173*8</f>
        <v>320</v>
      </c>
      <c r="AH173" s="0" t="n">
        <f aca="false">X173*24</f>
        <v>720</v>
      </c>
      <c r="AI173" s="0" t="n">
        <f aca="false">AB173*16</f>
        <v>352</v>
      </c>
      <c r="AJ173" s="0" t="n">
        <f aca="false">AB173*13</f>
        <v>286</v>
      </c>
      <c r="AK173" s="0" t="n">
        <f aca="false">AB173*14</f>
        <v>308</v>
      </c>
      <c r="AL173" s="0" t="n">
        <f aca="false">AB173*8</f>
        <v>176</v>
      </c>
      <c r="AM173" s="0" t="n">
        <f aca="false">AA173*24</f>
        <v>192</v>
      </c>
      <c r="AO173" s="68" t="n">
        <f aca="false">AI173/AH173</f>
        <v>0.488888888888889</v>
      </c>
      <c r="AP173" s="68" t="n">
        <f aca="false">AL173/AH173</f>
        <v>0.244444444444444</v>
      </c>
      <c r="AQ173" s="68" t="n">
        <f aca="false">1-(AO173+AP173)</f>
        <v>0.266666666666667</v>
      </c>
      <c r="AR173" s="48" t="n">
        <f aca="false">AQ173+AP173</f>
        <v>0.511111111111111</v>
      </c>
    </row>
    <row r="174" customFormat="false" ht="12.75" hidden="false" customHeight="false" outlineLevel="0" collapsed="false">
      <c r="A174" s="52" t="n">
        <v>41456</v>
      </c>
      <c r="B174" s="59" t="n">
        <v>49.16</v>
      </c>
      <c r="C174" s="59" t="n">
        <v>26.0951612903226</v>
      </c>
      <c r="D174" s="60" t="n">
        <v>48.98</v>
      </c>
      <c r="E174" s="60" t="n">
        <v>37.11</v>
      </c>
      <c r="F174" s="60" t="n">
        <f aca="false">((G174*AD174)-(B174*AE174))*(1/AF174)</f>
        <v>26.9714634146342</v>
      </c>
      <c r="G174" s="54" t="n">
        <f aca="false">((Z174*16*E174)+(B174*W174*16)+(X174*8*C174))/(X174*24)</f>
        <v>39.3779569892473</v>
      </c>
      <c r="H174" s="54" t="n">
        <f aca="false">(F174*AF174+B174*AE174)/AD174</f>
        <v>39.3779569892473</v>
      </c>
      <c r="I174" s="54" t="n">
        <f aca="false">B174*$C$5+F174*$C$6</f>
        <v>39.397043902439</v>
      </c>
      <c r="K174" s="76" t="n">
        <v>3.92573689343193</v>
      </c>
      <c r="M174" s="71" t="n">
        <v>1.311139295838</v>
      </c>
      <c r="N174" s="71" t="n">
        <v>0.064644756408324</v>
      </c>
      <c r="O174" s="35" t="n">
        <f aca="false">1/((1+N174)^((A174-$B$2)/365))</f>
        <v>2.15359803551682</v>
      </c>
      <c r="Q174" s="54" t="n">
        <f aca="false">M174*B174</f>
        <v>64.4556077833961</v>
      </c>
      <c r="R174" s="54" t="n">
        <f aca="false">C174*M174</f>
        <v>34.2143913989726</v>
      </c>
      <c r="S174" s="54" t="n">
        <f aca="false">M174*G174</f>
        <v>51.6299867984208</v>
      </c>
      <c r="T174" s="54" t="n">
        <f aca="false">F174*M174</f>
        <v>35.3633455491838</v>
      </c>
      <c r="V174" s="56" t="n">
        <f aca="false">Z174+AC174</f>
        <v>5</v>
      </c>
      <c r="W174" s="56" t="n">
        <f aca="false">X174-V174</f>
        <v>26</v>
      </c>
      <c r="X174" s="85" t="n">
        <f aca="false">X162</f>
        <v>31</v>
      </c>
      <c r="Y174" s="77" t="n">
        <v>4</v>
      </c>
      <c r="Z174" s="77" t="n">
        <v>4</v>
      </c>
      <c r="AA174" s="85" t="n">
        <f aca="false">AA162</f>
        <v>10</v>
      </c>
      <c r="AB174" s="85" t="n">
        <f aca="false">AB162</f>
        <v>21</v>
      </c>
      <c r="AC174" s="0" t="n">
        <v>1</v>
      </c>
      <c r="AD174" s="0" t="n">
        <f aca="false">X174*24</f>
        <v>744</v>
      </c>
      <c r="AE174" s="0" t="n">
        <f aca="false">W174*16</f>
        <v>416</v>
      </c>
      <c r="AF174" s="0" t="n">
        <f aca="false">V174*24+W174*8</f>
        <v>328</v>
      </c>
      <c r="AH174" s="0" t="n">
        <f aca="false">X174*24</f>
        <v>744</v>
      </c>
      <c r="AI174" s="0" t="n">
        <f aca="false">AB174*16</f>
        <v>336</v>
      </c>
      <c r="AJ174" s="0" t="n">
        <f aca="false">AB174*13</f>
        <v>273</v>
      </c>
      <c r="AK174" s="0" t="n">
        <f aca="false">AB174*14</f>
        <v>294</v>
      </c>
      <c r="AL174" s="0" t="n">
        <f aca="false">AB174*8</f>
        <v>168</v>
      </c>
      <c r="AM174" s="0" t="n">
        <f aca="false">AA174*24</f>
        <v>240</v>
      </c>
      <c r="AO174" s="68" t="n">
        <f aca="false">AI174/AH174</f>
        <v>0.451612903225806</v>
      </c>
      <c r="AP174" s="68" t="n">
        <f aca="false">AL174/AH174</f>
        <v>0.225806451612903</v>
      </c>
      <c r="AQ174" s="68" t="n">
        <f aca="false">1-(AO174+AP174)</f>
        <v>0.32258064516129</v>
      </c>
      <c r="AR174" s="48" t="n">
        <f aca="false">AQ174+AP174</f>
        <v>0.548387096774194</v>
      </c>
    </row>
    <row r="175" customFormat="false" ht="12.75" hidden="false" customHeight="false" outlineLevel="0" collapsed="false">
      <c r="A175" s="52" t="n">
        <v>41487</v>
      </c>
      <c r="B175" s="59" t="n">
        <v>66.66</v>
      </c>
      <c r="C175" s="59" t="n">
        <v>28.0629032258065</v>
      </c>
      <c r="D175" s="60" t="n">
        <v>67.73</v>
      </c>
      <c r="E175" s="60" t="n">
        <v>50.985</v>
      </c>
      <c r="F175" s="60" t="n">
        <f aca="false">((G175*AD175)-(B175*AE175))*(1/AF175)</f>
        <v>32.7648717948718</v>
      </c>
      <c r="G175" s="54" t="n">
        <f aca="false">((Z175*16*E175)+(B175*W175*16)+(X175*8*C175))/(X175*24)</f>
        <v>52.4459139784946</v>
      </c>
      <c r="H175" s="54" t="n">
        <f aca="false">(F175*AF175+B175*AE175)/AD175</f>
        <v>52.4459139784946</v>
      </c>
      <c r="I175" s="54" t="n">
        <f aca="false">B175*$C$5+F175*$C$6</f>
        <v>51.7461435897436</v>
      </c>
      <c r="K175" s="76" t="n">
        <v>3.9231735525766</v>
      </c>
      <c r="M175" s="71" t="n">
        <v>1.310337610101</v>
      </c>
      <c r="N175" s="71" t="n">
        <v>0.064665061732712</v>
      </c>
      <c r="O175" s="35" t="n">
        <f aca="false">1/((1+N175)^((A175-$B$2)/365))</f>
        <v>2.14266779927037</v>
      </c>
      <c r="Q175" s="54" t="n">
        <f aca="false">M175*B175</f>
        <v>87.3471050893327</v>
      </c>
      <c r="R175" s="54" t="n">
        <f aca="false">C175*M175</f>
        <v>36.7718775453989</v>
      </c>
      <c r="S175" s="54" t="n">
        <f aca="false">M175*G175</f>
        <v>68.7218535821433</v>
      </c>
      <c r="T175" s="54" t="n">
        <f aca="false">F175*M175</f>
        <v>42.933043802958</v>
      </c>
      <c r="V175" s="56" t="n">
        <f aca="false">Z175+AC175</f>
        <v>4</v>
      </c>
      <c r="W175" s="56" t="n">
        <f aca="false">X175-V175</f>
        <v>27</v>
      </c>
      <c r="X175" s="85" t="n">
        <f aca="false">X163</f>
        <v>31</v>
      </c>
      <c r="Y175" s="77" t="n">
        <v>5</v>
      </c>
      <c r="Z175" s="77" t="n">
        <v>4</v>
      </c>
      <c r="AA175" s="85" t="n">
        <f aca="false">AA163</f>
        <v>8</v>
      </c>
      <c r="AB175" s="85" t="n">
        <f aca="false">AB163</f>
        <v>23</v>
      </c>
      <c r="AD175" s="0" t="n">
        <f aca="false">X175*24</f>
        <v>744</v>
      </c>
      <c r="AE175" s="0" t="n">
        <f aca="false">W175*16</f>
        <v>432</v>
      </c>
      <c r="AF175" s="0" t="n">
        <f aca="false">V175*24+W175*8</f>
        <v>312</v>
      </c>
      <c r="AH175" s="0" t="n">
        <f aca="false">X175*24</f>
        <v>744</v>
      </c>
      <c r="AI175" s="0" t="n">
        <f aca="false">AB175*16</f>
        <v>368</v>
      </c>
      <c r="AJ175" s="0" t="n">
        <f aca="false">AB175*13</f>
        <v>299</v>
      </c>
      <c r="AK175" s="0" t="n">
        <f aca="false">AB175*14</f>
        <v>322</v>
      </c>
      <c r="AL175" s="0" t="n">
        <f aca="false">AB175*8</f>
        <v>184</v>
      </c>
      <c r="AM175" s="0" t="n">
        <f aca="false">AA175*24</f>
        <v>192</v>
      </c>
      <c r="AO175" s="68" t="n">
        <f aca="false">AI175/AH175</f>
        <v>0.494623655913979</v>
      </c>
      <c r="AP175" s="68" t="n">
        <f aca="false">AL175/AH175</f>
        <v>0.247311827956989</v>
      </c>
      <c r="AQ175" s="68" t="n">
        <f aca="false">1-(AO175+AP175)</f>
        <v>0.258064516129032</v>
      </c>
      <c r="AR175" s="48" t="n">
        <f aca="false">AQ175+AP175</f>
        <v>0.505376344086022</v>
      </c>
    </row>
    <row r="176" customFormat="false" ht="12.75" hidden="false" customHeight="false" outlineLevel="0" collapsed="false">
      <c r="A176" s="52" t="n">
        <v>41518</v>
      </c>
      <c r="B176" s="59" t="n">
        <v>64.285</v>
      </c>
      <c r="C176" s="59" t="n">
        <v>26.25</v>
      </c>
      <c r="D176" s="60" t="n">
        <v>63.105</v>
      </c>
      <c r="E176" s="60" t="n">
        <v>47.51625</v>
      </c>
      <c r="F176" s="60" t="n">
        <f aca="false">((G176*AD176)-(B176*AE176))*(1/AF176)</f>
        <v>30.0633928571429</v>
      </c>
      <c r="G176" s="54" t="n">
        <f aca="false">((Z176*16*E176)+(B176*W176*16)+(X176*8*C176))/(X176*24)</f>
        <v>48.3149166666667</v>
      </c>
      <c r="H176" s="54" t="n">
        <f aca="false">(F176*AF176+B176*AE176)/AD176</f>
        <v>48.3149166666667</v>
      </c>
      <c r="I176" s="54" t="n">
        <f aca="false">B176*$C$5+F176*$C$6</f>
        <v>49.2274928571429</v>
      </c>
      <c r="K176" s="76" t="n">
        <v>3.90189283711007</v>
      </c>
      <c r="M176" s="71" t="n">
        <v>1.309540122281</v>
      </c>
      <c r="N176" s="71" t="n">
        <v>0.064685367057237</v>
      </c>
      <c r="O176" s="35" t="n">
        <f aca="false">1/((1+N176)^((A176-$B$2)/365))</f>
        <v>2.13178612201664</v>
      </c>
      <c r="Q176" s="54" t="n">
        <f aca="false">M176*B176</f>
        <v>84.1837867608341</v>
      </c>
      <c r="R176" s="54" t="n">
        <f aca="false">C176*M176</f>
        <v>34.3754282098763</v>
      </c>
      <c r="S176" s="54" t="n">
        <f aca="false">M176*G176</f>
        <v>63.270321879663</v>
      </c>
      <c r="T176" s="54" t="n">
        <f aca="false">F176*M176</f>
        <v>39.3692191583246</v>
      </c>
      <c r="V176" s="56" t="n">
        <f aca="false">Z176+AC176</f>
        <v>6</v>
      </c>
      <c r="W176" s="56" t="n">
        <f aca="false">X176-V176</f>
        <v>24</v>
      </c>
      <c r="X176" s="85" t="n">
        <f aca="false">X164</f>
        <v>30</v>
      </c>
      <c r="Y176" s="77" t="n">
        <v>4</v>
      </c>
      <c r="Z176" s="77" t="n">
        <v>5</v>
      </c>
      <c r="AA176" s="85" t="n">
        <f aca="false">AA164</f>
        <v>8</v>
      </c>
      <c r="AB176" s="85" t="n">
        <f aca="false">AB164</f>
        <v>22</v>
      </c>
      <c r="AC176" s="0" t="n">
        <v>1</v>
      </c>
      <c r="AD176" s="0" t="n">
        <f aca="false">X176*24</f>
        <v>720</v>
      </c>
      <c r="AE176" s="0" t="n">
        <f aca="false">W176*16</f>
        <v>384</v>
      </c>
      <c r="AF176" s="0" t="n">
        <f aca="false">V176*24+W176*8</f>
        <v>336</v>
      </c>
      <c r="AH176" s="0" t="n">
        <f aca="false">X176*24</f>
        <v>720</v>
      </c>
      <c r="AI176" s="0" t="n">
        <f aca="false">AB176*16</f>
        <v>352</v>
      </c>
      <c r="AJ176" s="0" t="n">
        <f aca="false">AB176*13</f>
        <v>286</v>
      </c>
      <c r="AK176" s="0" t="n">
        <f aca="false">AB176*14</f>
        <v>308</v>
      </c>
      <c r="AL176" s="0" t="n">
        <f aca="false">AB176*8</f>
        <v>176</v>
      </c>
      <c r="AM176" s="0" t="n">
        <f aca="false">AA176*24</f>
        <v>192</v>
      </c>
      <c r="AO176" s="68" t="n">
        <f aca="false">AI176/AH176</f>
        <v>0.488888888888889</v>
      </c>
      <c r="AP176" s="68" t="n">
        <f aca="false">AL176/AH176</f>
        <v>0.244444444444444</v>
      </c>
      <c r="AQ176" s="68" t="n">
        <f aca="false">1-(AO176+AP176)</f>
        <v>0.266666666666667</v>
      </c>
      <c r="AR176" s="48" t="n">
        <f aca="false">AQ176+AP176</f>
        <v>0.511111111111111</v>
      </c>
    </row>
    <row r="177" customFormat="false" ht="12.75" hidden="false" customHeight="false" outlineLevel="0" collapsed="false">
      <c r="A177" s="52" t="n">
        <v>41548</v>
      </c>
      <c r="B177" s="59" t="n">
        <v>40.785</v>
      </c>
      <c r="C177" s="59" t="n">
        <v>32.6838709677419</v>
      </c>
      <c r="D177" s="60" t="n">
        <v>41.355</v>
      </c>
      <c r="E177" s="60" t="n">
        <v>31.01625</v>
      </c>
      <c r="F177" s="60" t="n">
        <f aca="false">((G177*AD177)-(B177*AE177))*(1/AF177)</f>
        <v>32.3417948717949</v>
      </c>
      <c r="G177" s="54" t="n">
        <f aca="false">((Z177*16*E177)+(B177*W177*16)+(X177*8*C177))/(X177*24)</f>
        <v>37.2443010752688</v>
      </c>
      <c r="H177" s="54" t="n">
        <f aca="false">(F177*AF177+B177*AE177)/AD177</f>
        <v>37.2443010752688</v>
      </c>
      <c r="I177" s="54" t="n">
        <f aca="false">B177*$C$5+F177*$C$6</f>
        <v>37.0699897435897</v>
      </c>
      <c r="K177" s="76" t="n">
        <v>3.91192462013187</v>
      </c>
      <c r="M177" s="71" t="n">
        <v>1.308772350131</v>
      </c>
      <c r="N177" s="71" t="n">
        <v>0.064705017371422</v>
      </c>
      <c r="O177" s="35" t="n">
        <f aca="false">1/((1+N177)^((A177-$B$2)/365))</f>
        <v>2.12130153547034</v>
      </c>
      <c r="Q177" s="54" t="n">
        <f aca="false">M177*B177</f>
        <v>53.3782803000928</v>
      </c>
      <c r="R177" s="54" t="n">
        <f aca="false">C177*M177</f>
        <v>42.77574661783</v>
      </c>
      <c r="S177" s="54" t="n">
        <f aca="false">M177*G177</f>
        <v>48.7443114472661</v>
      </c>
      <c r="T177" s="54" t="n">
        <f aca="false">F177*M177</f>
        <v>42.3280468818137</v>
      </c>
      <c r="V177" s="56" t="n">
        <f aca="false">Z177+AC177</f>
        <v>4</v>
      </c>
      <c r="W177" s="56" t="n">
        <f aca="false">X177-V177</f>
        <v>27</v>
      </c>
      <c r="X177" s="85" t="n">
        <f aca="false">X165</f>
        <v>31</v>
      </c>
      <c r="Y177" s="77" t="n">
        <v>4</v>
      </c>
      <c r="Z177" s="77" t="n">
        <v>4</v>
      </c>
      <c r="AA177" s="85" t="n">
        <f aca="false">AA165</f>
        <v>10</v>
      </c>
      <c r="AB177" s="85" t="n">
        <f aca="false">AB165</f>
        <v>21</v>
      </c>
      <c r="AD177" s="0" t="n">
        <f aca="false">X177*24</f>
        <v>744</v>
      </c>
      <c r="AE177" s="0" t="n">
        <f aca="false">W177*16</f>
        <v>432</v>
      </c>
      <c r="AF177" s="0" t="n">
        <f aca="false">V177*24+W177*8</f>
        <v>312</v>
      </c>
      <c r="AH177" s="0" t="n">
        <f aca="false">X177*24</f>
        <v>744</v>
      </c>
      <c r="AI177" s="0" t="n">
        <f aca="false">AB177*16</f>
        <v>336</v>
      </c>
      <c r="AJ177" s="0" t="n">
        <f aca="false">AB177*13</f>
        <v>273</v>
      </c>
      <c r="AK177" s="0" t="n">
        <f aca="false">AB177*14</f>
        <v>294</v>
      </c>
      <c r="AL177" s="0" t="n">
        <f aca="false">AB177*8</f>
        <v>168</v>
      </c>
      <c r="AM177" s="0" t="n">
        <f aca="false">AA177*24</f>
        <v>240</v>
      </c>
      <c r="AO177" s="68" t="n">
        <f aca="false">AI177/AH177</f>
        <v>0.451612903225806</v>
      </c>
      <c r="AP177" s="68" t="n">
        <f aca="false">AL177/AH177</f>
        <v>0.225806451612903</v>
      </c>
      <c r="AQ177" s="68" t="n">
        <f aca="false">1-(AO177+AP177)</f>
        <v>0.32258064516129</v>
      </c>
      <c r="AR177" s="48" t="n">
        <f aca="false">AQ177+AP177</f>
        <v>0.548387096774194</v>
      </c>
    </row>
    <row r="178" customFormat="false" ht="12.75" hidden="false" customHeight="false" outlineLevel="0" collapsed="false">
      <c r="A178" s="52" t="n">
        <v>41579</v>
      </c>
      <c r="B178" s="59" t="n">
        <v>39.785</v>
      </c>
      <c r="C178" s="59" t="n">
        <v>30.7416666666667</v>
      </c>
      <c r="D178" s="60" t="n">
        <v>40.105</v>
      </c>
      <c r="E178" s="60" t="n">
        <v>30.07875</v>
      </c>
      <c r="F178" s="60" t="n">
        <f aca="false">((G178*AD178)-(B178*AE178))*(1/AF178)</f>
        <v>29.072</v>
      </c>
      <c r="G178" s="54" t="n">
        <f aca="false">((Z178*16*E178)+(B178*W178*16)+(X178*8*C178))/(X178*24)</f>
        <v>35.0236666666667</v>
      </c>
      <c r="H178" s="54" t="n">
        <f aca="false">(F178*AF178+B178*AE178)/AD178</f>
        <v>35.0236666666667</v>
      </c>
      <c r="I178" s="54" t="n">
        <f aca="false">B178*$C$5+F178*$C$6</f>
        <v>35.07128</v>
      </c>
      <c r="K178" s="76" t="n">
        <v>3.99295017582589</v>
      </c>
      <c r="M178" s="71" t="n">
        <v>1.30798310194</v>
      </c>
      <c r="N178" s="71" t="n">
        <v>0.064725322696216</v>
      </c>
      <c r="O178" s="35" t="n">
        <f aca="false">1/((1+N178)^((A178-$B$2)/365))</f>
        <v>2.11051489630802</v>
      </c>
      <c r="Q178" s="54" t="n">
        <f aca="false">M178*B178</f>
        <v>52.0381077106829</v>
      </c>
      <c r="R178" s="54" t="n">
        <f aca="false">C178*M178</f>
        <v>40.2095805254722</v>
      </c>
      <c r="S178" s="54" t="n">
        <f aca="false">M178*G178</f>
        <v>45.8103641679793</v>
      </c>
      <c r="T178" s="54" t="n">
        <f aca="false">F178*M178</f>
        <v>38.0256847395997</v>
      </c>
      <c r="V178" s="56" t="n">
        <f aca="false">Z178+AC178</f>
        <v>5</v>
      </c>
      <c r="W178" s="56" t="n">
        <f aca="false">X178-V178</f>
        <v>25</v>
      </c>
      <c r="X178" s="85" t="n">
        <f aca="false">X166</f>
        <v>30</v>
      </c>
      <c r="Y178" s="77" t="n">
        <v>5</v>
      </c>
      <c r="Z178" s="77" t="n">
        <v>4</v>
      </c>
      <c r="AA178" s="85" t="n">
        <f aca="false">AA166</f>
        <v>8</v>
      </c>
      <c r="AB178" s="85" t="n">
        <f aca="false">AB166</f>
        <v>22</v>
      </c>
      <c r="AC178" s="0" t="n">
        <v>1</v>
      </c>
      <c r="AD178" s="0" t="n">
        <f aca="false">X178*24</f>
        <v>720</v>
      </c>
      <c r="AE178" s="0" t="n">
        <f aca="false">W178*16</f>
        <v>400</v>
      </c>
      <c r="AF178" s="0" t="n">
        <f aca="false">V178*24+W178*8</f>
        <v>320</v>
      </c>
      <c r="AH178" s="0" t="n">
        <f aca="false">X178*24</f>
        <v>720</v>
      </c>
      <c r="AI178" s="0" t="n">
        <f aca="false">AB178*16</f>
        <v>352</v>
      </c>
      <c r="AJ178" s="0" t="n">
        <f aca="false">AB178*13</f>
        <v>286</v>
      </c>
      <c r="AK178" s="0" t="n">
        <f aca="false">AB178*14</f>
        <v>308</v>
      </c>
      <c r="AL178" s="0" t="n">
        <f aca="false">AB178*8</f>
        <v>176</v>
      </c>
      <c r="AM178" s="0" t="n">
        <f aca="false">AA178*24</f>
        <v>192</v>
      </c>
      <c r="AO178" s="68" t="n">
        <f aca="false">AI178/AH178</f>
        <v>0.488888888888889</v>
      </c>
      <c r="AP178" s="68" t="n">
        <f aca="false">AL178/AH178</f>
        <v>0.244444444444444</v>
      </c>
      <c r="AQ178" s="68" t="n">
        <f aca="false">1-(AO178+AP178)</f>
        <v>0.266666666666667</v>
      </c>
      <c r="AR178" s="48" t="n">
        <f aca="false">AQ178+AP178</f>
        <v>0.511111111111111</v>
      </c>
    </row>
    <row r="179" customFormat="false" ht="12.75" hidden="false" customHeight="false" outlineLevel="0" collapsed="false">
      <c r="A179" s="52" t="n">
        <v>41609</v>
      </c>
      <c r="B179" s="59" t="n">
        <v>40.035</v>
      </c>
      <c r="C179" s="59" t="n">
        <v>30.7161290322581</v>
      </c>
      <c r="D179" s="60" t="n">
        <v>40.355</v>
      </c>
      <c r="E179" s="60" t="n">
        <v>30.26625</v>
      </c>
      <c r="F179" s="60" t="n">
        <f aca="false">((G179*AD179)-(B179*AE179))*(1/AF179)</f>
        <v>29.1828488372093</v>
      </c>
      <c r="G179" s="54" t="n">
        <f aca="false">((Z179*16*E179)+(B179*W179*16)+(X179*8*C179))/(X179*24)</f>
        <v>35.0173387096774</v>
      </c>
      <c r="H179" s="54" t="n">
        <f aca="false">(F179*AF179+B179*AE179)/AD179</f>
        <v>35.0173387096774</v>
      </c>
      <c r="I179" s="54" t="n">
        <f aca="false">B179*$C$5+F179*$C$6</f>
        <v>35.2600534883721</v>
      </c>
      <c r="K179" s="76" t="n">
        <v>4.09265791560643</v>
      </c>
      <c r="M179" s="71" t="n">
        <v>1.307223290373</v>
      </c>
      <c r="N179" s="71" t="n">
        <v>0.064744973010663</v>
      </c>
      <c r="O179" s="35" t="n">
        <f aca="false">1/((1+N179)^((A179-$B$2)/365))</f>
        <v>2.10012195354301</v>
      </c>
      <c r="Q179" s="54" t="n">
        <f aca="false">M179*B179</f>
        <v>52.3346844300831</v>
      </c>
      <c r="R179" s="54" t="n">
        <f aca="false">C179*M179</f>
        <v>40.15283926107</v>
      </c>
      <c r="S179" s="54" t="n">
        <f aca="false">M179*G179</f>
        <v>45.7754807281703</v>
      </c>
      <c r="T179" s="54" t="n">
        <f aca="false">F179*M179</f>
        <v>38.1484996794346</v>
      </c>
      <c r="V179" s="56" t="n">
        <f aca="false">Z179+AC179</f>
        <v>6</v>
      </c>
      <c r="W179" s="56" t="n">
        <f aca="false">X179-V179</f>
        <v>25</v>
      </c>
      <c r="X179" s="85" t="n">
        <f aca="false">X167</f>
        <v>31</v>
      </c>
      <c r="Y179" s="77" t="n">
        <v>4</v>
      </c>
      <c r="Z179" s="77" t="n">
        <v>5</v>
      </c>
      <c r="AA179" s="85" t="n">
        <f aca="false">AA167</f>
        <v>9</v>
      </c>
      <c r="AB179" s="85" t="n">
        <f aca="false">AB167</f>
        <v>22</v>
      </c>
      <c r="AC179" s="0" t="n">
        <v>1</v>
      </c>
      <c r="AD179" s="0" t="n">
        <f aca="false">X179*24</f>
        <v>744</v>
      </c>
      <c r="AE179" s="0" t="n">
        <f aca="false">W179*16</f>
        <v>400</v>
      </c>
      <c r="AF179" s="0" t="n">
        <f aca="false">V179*24+W179*8</f>
        <v>344</v>
      </c>
      <c r="AH179" s="0" t="n">
        <f aca="false">X179*24</f>
        <v>744</v>
      </c>
      <c r="AI179" s="0" t="n">
        <f aca="false">AB179*16</f>
        <v>352</v>
      </c>
      <c r="AJ179" s="0" t="n">
        <f aca="false">AB179*13</f>
        <v>286</v>
      </c>
      <c r="AK179" s="0" t="n">
        <f aca="false">AB179*14</f>
        <v>308</v>
      </c>
      <c r="AL179" s="0" t="n">
        <f aca="false">AB179*8</f>
        <v>176</v>
      </c>
      <c r="AM179" s="0" t="n">
        <f aca="false">AA179*24</f>
        <v>216</v>
      </c>
      <c r="AO179" s="68" t="n">
        <f aca="false">AI179/AH179</f>
        <v>0.473118279569893</v>
      </c>
      <c r="AP179" s="68" t="n">
        <f aca="false">AL179/AH179</f>
        <v>0.236559139784946</v>
      </c>
      <c r="AQ179" s="68" t="n">
        <f aca="false">1-(AO179+AP179)</f>
        <v>0.290322580645161</v>
      </c>
      <c r="AR179" s="48" t="n">
        <f aca="false">AQ179+AP179</f>
        <v>0.526881720430108</v>
      </c>
    </row>
    <row r="180" customFormat="false" ht="12.75" hidden="false" customHeight="false" outlineLevel="0" collapsed="false">
      <c r="A180" s="52" t="n">
        <v>41640</v>
      </c>
      <c r="B180" s="59" t="n">
        <v>36.05</v>
      </c>
      <c r="C180" s="59" t="n">
        <v>28.9241935483871</v>
      </c>
      <c r="D180" s="60" t="n">
        <v>36.2</v>
      </c>
      <c r="E180" s="60" t="n">
        <v>27.15</v>
      </c>
      <c r="F180" s="60" t="n">
        <f aca="false">((G180*AD180)-(B180*AE180))*(1/AF180)</f>
        <v>27.1670731707317</v>
      </c>
      <c r="G180" s="54" t="n">
        <f aca="false">((Z180*16*E180)+(B180*W180*16)+(X180*8*C180))/(X180*24)</f>
        <v>32.1338709677419</v>
      </c>
      <c r="H180" s="54" t="n">
        <f aca="false">(F180*AF180+B180*AE180)/AD180</f>
        <v>32.1338709677419</v>
      </c>
      <c r="I180" s="54" t="n">
        <f aca="false">B180*$C$5+F180*$C$6</f>
        <v>32.141512195122</v>
      </c>
      <c r="K180" s="76" t="n">
        <v>4.35407133419759</v>
      </c>
      <c r="M180" s="71" t="n">
        <v>1.3064422545</v>
      </c>
      <c r="N180" s="71" t="n">
        <v>0.064765278335725</v>
      </c>
      <c r="O180" s="35" t="n">
        <f aca="false">1/((1+N180)^((A180-$B$2)/365))</f>
        <v>2.08942967424466</v>
      </c>
      <c r="Q180" s="54" t="n">
        <f aca="false">M180*B180</f>
        <v>47.097243274725</v>
      </c>
      <c r="R180" s="54" t="n">
        <f aca="false">C180*M180</f>
        <v>37.7877886289492</v>
      </c>
      <c r="S180" s="54" t="n">
        <f aca="false">M180*G180</f>
        <v>41.9810468329089</v>
      </c>
      <c r="T180" s="54" t="n">
        <f aca="false">F180*M180</f>
        <v>35.4922123213372</v>
      </c>
      <c r="V180" s="56" t="n">
        <f aca="false">Z180+AC180</f>
        <v>5</v>
      </c>
      <c r="W180" s="56" t="n">
        <f aca="false">X180-V180</f>
        <v>26</v>
      </c>
      <c r="X180" s="85" t="n">
        <f aca="false">X168</f>
        <v>31</v>
      </c>
      <c r="Y180" s="85"/>
      <c r="Z180" s="78" t="n">
        <v>4</v>
      </c>
      <c r="AA180" s="85" t="n">
        <f aca="false">AA168</f>
        <v>10</v>
      </c>
      <c r="AB180" s="85" t="n">
        <f aca="false">AB168</f>
        <v>21</v>
      </c>
      <c r="AC180" s="0" t="n">
        <v>1</v>
      </c>
      <c r="AD180" s="0" t="n">
        <f aca="false">X180*24</f>
        <v>744</v>
      </c>
      <c r="AE180" s="0" t="n">
        <f aca="false">W180*16</f>
        <v>416</v>
      </c>
      <c r="AF180" s="0" t="n">
        <f aca="false">V180*24+W180*8</f>
        <v>328</v>
      </c>
      <c r="AH180" s="0" t="n">
        <f aca="false">X180*24</f>
        <v>744</v>
      </c>
      <c r="AI180" s="0" t="n">
        <f aca="false">AB180*16</f>
        <v>336</v>
      </c>
      <c r="AJ180" s="0" t="n">
        <f aca="false">AB180*13</f>
        <v>273</v>
      </c>
      <c r="AK180" s="0" t="n">
        <f aca="false">AB180*14</f>
        <v>294</v>
      </c>
      <c r="AL180" s="0" t="n">
        <f aca="false">AB180*8</f>
        <v>168</v>
      </c>
      <c r="AM180" s="0" t="n">
        <f aca="false">AA180*24</f>
        <v>240</v>
      </c>
      <c r="AO180" s="68" t="n">
        <f aca="false">AI180/AH180</f>
        <v>0.451612903225806</v>
      </c>
      <c r="AP180" s="68" t="n">
        <f aca="false">AL180/AH180</f>
        <v>0.225806451612903</v>
      </c>
      <c r="AQ180" s="68" t="n">
        <f aca="false">1-(AO180+AP180)</f>
        <v>0.32258064516129</v>
      </c>
      <c r="AR180" s="48" t="n">
        <f aca="false">AQ180+AP180</f>
        <v>0.548387096774194</v>
      </c>
    </row>
    <row r="181" customFormat="false" ht="12.75" hidden="false" customHeight="false" outlineLevel="0" collapsed="false">
      <c r="A181" s="52" t="n">
        <v>41671</v>
      </c>
      <c r="B181" s="59" t="n">
        <v>35.55</v>
      </c>
      <c r="C181" s="59" t="n">
        <v>27.0428571428571</v>
      </c>
      <c r="D181" s="60" t="n">
        <v>35.2</v>
      </c>
      <c r="E181" s="60" t="n">
        <v>26.4</v>
      </c>
      <c r="F181" s="60" t="n">
        <f aca="false">((G181*AD181)-(B181*AE181))*(1/AF181)</f>
        <v>26.9</v>
      </c>
      <c r="G181" s="54" t="n">
        <f aca="false">((Z181*16*E181)+(B181*W181*16)+(X181*8*C181))/(X181*24)</f>
        <v>31.8428571428571</v>
      </c>
      <c r="H181" s="54" t="n">
        <f aca="false">(F181*AF181+B181*AE181)/AD181</f>
        <v>31.8428571428571</v>
      </c>
      <c r="I181" s="54" t="n">
        <f aca="false">B181*$C$5+F181*$C$6</f>
        <v>31.744</v>
      </c>
      <c r="K181" s="76" t="n">
        <v>4.2479885236336</v>
      </c>
      <c r="M181" s="71" t="n">
        <v>1.305665381728</v>
      </c>
      <c r="N181" s="71" t="n">
        <v>0.064785583660924</v>
      </c>
      <c r="O181" s="35" t="n">
        <f aca="false">1/((1+N181)^((A181-$B$2)/365))</f>
        <v>2.07878508943201</v>
      </c>
      <c r="Q181" s="54" t="n">
        <f aca="false">M181*B181</f>
        <v>46.4164043204304</v>
      </c>
      <c r="R181" s="54" t="n">
        <f aca="false">C181*M181</f>
        <v>35.3089223944443</v>
      </c>
      <c r="S181" s="54" t="n">
        <f aca="false">M181*G181</f>
        <v>41.5761162267387</v>
      </c>
      <c r="T181" s="54" t="n">
        <f aca="false">F181*M181</f>
        <v>35.1223987684832</v>
      </c>
      <c r="V181" s="56" t="n">
        <f aca="false">Z181+AC181</f>
        <v>4</v>
      </c>
      <c r="W181" s="56" t="n">
        <f aca="false">X181-V181</f>
        <v>24</v>
      </c>
      <c r="X181" s="85" t="n">
        <f aca="false">X169</f>
        <v>28</v>
      </c>
      <c r="Y181" s="85"/>
      <c r="Z181" s="77" t="n">
        <v>4</v>
      </c>
      <c r="AA181" s="85" t="n">
        <f aca="false">AA169</f>
        <v>8</v>
      </c>
      <c r="AB181" s="85" t="n">
        <f aca="false">AB169</f>
        <v>20</v>
      </c>
      <c r="AD181" s="0" t="n">
        <f aca="false">X181*24</f>
        <v>672</v>
      </c>
      <c r="AE181" s="0" t="n">
        <f aca="false">W181*16</f>
        <v>384</v>
      </c>
      <c r="AF181" s="0" t="n">
        <f aca="false">V181*24+W181*8</f>
        <v>288</v>
      </c>
      <c r="AH181" s="0" t="n">
        <f aca="false">X181*24</f>
        <v>672</v>
      </c>
      <c r="AI181" s="0" t="n">
        <f aca="false">AB181*16</f>
        <v>320</v>
      </c>
      <c r="AJ181" s="0" t="n">
        <f aca="false">AB181*13</f>
        <v>260</v>
      </c>
      <c r="AK181" s="0" t="n">
        <f aca="false">AB181*14</f>
        <v>280</v>
      </c>
      <c r="AL181" s="0" t="n">
        <f aca="false">AB181*8</f>
        <v>160</v>
      </c>
      <c r="AM181" s="0" t="n">
        <f aca="false">AA181*24</f>
        <v>192</v>
      </c>
      <c r="AO181" s="68" t="n">
        <f aca="false">AI181/AH181</f>
        <v>0.476190476190476</v>
      </c>
      <c r="AP181" s="68" t="n">
        <f aca="false">AL181/AH181</f>
        <v>0.238095238095238</v>
      </c>
      <c r="AQ181" s="68" t="n">
        <f aca="false">1-(AO181+AP181)</f>
        <v>0.285714285714286</v>
      </c>
      <c r="AR181" s="48" t="n">
        <f aca="false">AQ181+AP181</f>
        <v>0.523809523809524</v>
      </c>
    </row>
    <row r="182" customFormat="false" ht="12.75" hidden="false" customHeight="false" outlineLevel="0" collapsed="false">
      <c r="A182" s="52" t="n">
        <v>41699</v>
      </c>
      <c r="B182" s="59" t="n">
        <v>33.0225</v>
      </c>
      <c r="C182" s="59" t="n">
        <v>26.0129032258065</v>
      </c>
      <c r="D182" s="60" t="n">
        <v>33.1525</v>
      </c>
      <c r="E182" s="60" t="n">
        <v>24.864375</v>
      </c>
      <c r="F182" s="60" t="n">
        <f aca="false">((G182*AD182)-(B182*AE182))*(1/AF182)</f>
        <v>25.7327743902439</v>
      </c>
      <c r="G182" s="54" t="n">
        <f aca="false">((Z182*16*E182)+(B182*W182*16)+(X182*8*C182))/(X182*24)</f>
        <v>29.80875</v>
      </c>
      <c r="H182" s="54" t="n">
        <f aca="false">(F182*AF182+B182*AE182)/AD182</f>
        <v>29.80875</v>
      </c>
      <c r="I182" s="54" t="n">
        <f aca="false">B182*$C$5+F182*$C$6</f>
        <v>29.8150207317073</v>
      </c>
      <c r="K182" s="76" t="n">
        <v>4.10001030997792</v>
      </c>
      <c r="M182" s="71" t="n">
        <v>1.3049672627</v>
      </c>
      <c r="N182" s="71" t="n">
        <v>0.06480392395477</v>
      </c>
      <c r="O182" s="35" t="n">
        <f aca="false">1/((1+N182)^((A182-$B$2)/365))</f>
        <v>2.06921147549232</v>
      </c>
      <c r="Q182" s="54" t="n">
        <f aca="false">M182*B182</f>
        <v>43.0932814325108</v>
      </c>
      <c r="R182" s="54" t="n">
        <f aca="false">C182*M182</f>
        <v>33.9459871174607</v>
      </c>
      <c r="S182" s="54" t="n">
        <f aca="false">M182*G182</f>
        <v>38.8994428920086</v>
      </c>
      <c r="T182" s="54" t="n">
        <f aca="false">F182*M182</f>
        <v>33.5804281577133</v>
      </c>
      <c r="V182" s="56" t="n">
        <f aca="false">Z182+AC182</f>
        <v>5</v>
      </c>
      <c r="W182" s="56" t="n">
        <f aca="false">X182-V182</f>
        <v>26</v>
      </c>
      <c r="X182" s="85" t="n">
        <f aca="false">X170</f>
        <v>31</v>
      </c>
      <c r="Y182" s="85"/>
      <c r="Z182" s="77" t="n">
        <v>5</v>
      </c>
      <c r="AA182" s="85" t="n">
        <f aca="false">AA170</f>
        <v>8</v>
      </c>
      <c r="AB182" s="85" t="n">
        <f aca="false">AB170</f>
        <v>23</v>
      </c>
      <c r="AD182" s="0" t="n">
        <f aca="false">X182*24</f>
        <v>744</v>
      </c>
      <c r="AE182" s="0" t="n">
        <f aca="false">W182*16</f>
        <v>416</v>
      </c>
      <c r="AF182" s="0" t="n">
        <f aca="false">V182*24+W182*8</f>
        <v>328</v>
      </c>
      <c r="AH182" s="0" t="n">
        <f aca="false">X182*24</f>
        <v>744</v>
      </c>
      <c r="AI182" s="0" t="n">
        <f aca="false">AB182*16</f>
        <v>368</v>
      </c>
      <c r="AJ182" s="0" t="n">
        <f aca="false">AB182*13</f>
        <v>299</v>
      </c>
      <c r="AK182" s="0" t="n">
        <f aca="false">AB182*14</f>
        <v>322</v>
      </c>
      <c r="AL182" s="0" t="n">
        <f aca="false">AB182*8</f>
        <v>184</v>
      </c>
      <c r="AM182" s="0" t="n">
        <f aca="false">AA182*24</f>
        <v>192</v>
      </c>
      <c r="AO182" s="68" t="n">
        <f aca="false">AI182/AH182</f>
        <v>0.494623655913979</v>
      </c>
      <c r="AP182" s="68" t="n">
        <f aca="false">AL182/AH182</f>
        <v>0.247311827956989</v>
      </c>
      <c r="AQ182" s="68" t="n">
        <f aca="false">1-(AO182+AP182)</f>
        <v>0.258064516129032</v>
      </c>
      <c r="AR182" s="48" t="n">
        <f aca="false">AQ182+AP182</f>
        <v>0.505376344086022</v>
      </c>
    </row>
    <row r="183" customFormat="false" ht="12.75" hidden="false" customHeight="false" outlineLevel="0" collapsed="false">
      <c r="A183" s="52" t="n">
        <v>41730</v>
      </c>
      <c r="B183" s="59" t="n">
        <v>30.63</v>
      </c>
      <c r="C183" s="59" t="n">
        <v>23.1041666666667</v>
      </c>
      <c r="D183" s="60" t="n">
        <v>30.7</v>
      </c>
      <c r="E183" s="60" t="n">
        <v>23.025</v>
      </c>
      <c r="F183" s="60" t="n">
        <f aca="false">((G183*AD183)-(B183*AE183))*(1/AF183)</f>
        <v>23.0875</v>
      </c>
      <c r="G183" s="54" t="n">
        <f aca="false">((Z183*16*E183)+(B183*W183*16)+(X183*8*C183))/(X183*24)</f>
        <v>27.4453888888889</v>
      </c>
      <c r="H183" s="54" t="n">
        <f aca="false">(F183*AF183+B183*AE183)/AD183</f>
        <v>27.4453888888889</v>
      </c>
      <c r="I183" s="54" t="n">
        <f aca="false">B183*$C$5+F183*$C$6</f>
        <v>27.3113</v>
      </c>
      <c r="K183" s="76" t="n">
        <v>3.95196709723436</v>
      </c>
      <c r="M183" s="71" t="n">
        <v>1.304198294125</v>
      </c>
      <c r="N183" s="71" t="n">
        <v>0.064824229280229</v>
      </c>
      <c r="O183" s="35" t="n">
        <f aca="false">1/((1+N183)^((A183-$B$2)/365))</f>
        <v>2.05865718393782</v>
      </c>
      <c r="Q183" s="54" t="n">
        <f aca="false">M183*B183</f>
        <v>39.9475937490488</v>
      </c>
      <c r="R183" s="54" t="n">
        <f aca="false">C183*M183</f>
        <v>30.1324147538464</v>
      </c>
      <c r="S183" s="54" t="n">
        <f aca="false">M183*G183</f>
        <v>35.7942293704861</v>
      </c>
      <c r="T183" s="54" t="n">
        <f aca="false">F183*M183</f>
        <v>30.1106781156109</v>
      </c>
      <c r="V183" s="56" t="n">
        <f aca="false">Z183+AC183</f>
        <v>4</v>
      </c>
      <c r="W183" s="56" t="n">
        <f aca="false">X183-V183</f>
        <v>26</v>
      </c>
      <c r="X183" s="85" t="n">
        <f aca="false">X171</f>
        <v>30</v>
      </c>
      <c r="Y183" s="85"/>
      <c r="Z183" s="77" t="n">
        <v>4</v>
      </c>
      <c r="AA183" s="85" t="n">
        <f aca="false">AA171</f>
        <v>9</v>
      </c>
      <c r="AB183" s="85" t="n">
        <f aca="false">AB171</f>
        <v>21</v>
      </c>
      <c r="AD183" s="0" t="n">
        <f aca="false">X183*24</f>
        <v>720</v>
      </c>
      <c r="AE183" s="0" t="n">
        <f aca="false">W183*16</f>
        <v>416</v>
      </c>
      <c r="AF183" s="0" t="n">
        <f aca="false">V183*24+W183*8</f>
        <v>304</v>
      </c>
      <c r="AH183" s="0" t="n">
        <f aca="false">X183*24</f>
        <v>720</v>
      </c>
      <c r="AI183" s="0" t="n">
        <f aca="false">AB183*16</f>
        <v>336</v>
      </c>
      <c r="AJ183" s="0" t="n">
        <f aca="false">AB183*13</f>
        <v>273</v>
      </c>
      <c r="AK183" s="0" t="n">
        <f aca="false">AB183*14</f>
        <v>294</v>
      </c>
      <c r="AL183" s="0" t="n">
        <f aca="false">AB183*8</f>
        <v>168</v>
      </c>
      <c r="AM183" s="0" t="n">
        <f aca="false">AA183*24</f>
        <v>216</v>
      </c>
      <c r="AO183" s="68" t="n">
        <f aca="false">AI183/AH183</f>
        <v>0.466666666666667</v>
      </c>
      <c r="AP183" s="68" t="n">
        <f aca="false">AL183/AH183</f>
        <v>0.233333333333333</v>
      </c>
      <c r="AQ183" s="68" t="n">
        <f aca="false">1-(AO183+AP183)</f>
        <v>0.3</v>
      </c>
      <c r="AR183" s="48" t="n">
        <f aca="false">AQ183+AP183</f>
        <v>0.533333333333333</v>
      </c>
    </row>
    <row r="184" customFormat="false" ht="12.75" hidden="false" customHeight="false" outlineLevel="0" collapsed="false">
      <c r="A184" s="52" t="n">
        <v>41760</v>
      </c>
      <c r="B184" s="59" t="n">
        <v>29.38</v>
      </c>
      <c r="C184" s="59" t="n">
        <v>12.491935483871</v>
      </c>
      <c r="D184" s="60" t="n">
        <v>28.8</v>
      </c>
      <c r="E184" s="60" t="n">
        <v>21.6</v>
      </c>
      <c r="F184" s="60" t="n">
        <f aca="false">((G184*AD184)-(B184*AE184))*(1/AF184)</f>
        <v>13.659756097561</v>
      </c>
      <c r="G184" s="54" t="n">
        <f aca="false">((Z184*16*E184)+(B184*W184*16)+(X184*8*C184))/(X184*24)</f>
        <v>22.4495698924731</v>
      </c>
      <c r="H184" s="54" t="n">
        <f aca="false">(F184*AF184+B184*AE184)/AD184</f>
        <v>22.4495698924731</v>
      </c>
      <c r="I184" s="54" t="n">
        <f aca="false">B184*$C$5+F184*$C$6</f>
        <v>22.4630926829268</v>
      </c>
      <c r="K184" s="76" t="n">
        <v>3.93216271627772</v>
      </c>
      <c r="M184" s="71" t="n">
        <v>1.303458075819</v>
      </c>
      <c r="N184" s="71" t="n">
        <v>0.06484387959532</v>
      </c>
      <c r="O184" s="35" t="n">
        <f aca="false">1/((1+N184)^((A184-$B$2)/365))</f>
        <v>2.04848828705207</v>
      </c>
      <c r="Q184" s="54" t="n">
        <f aca="false">M184*B184</f>
        <v>38.2955982675622</v>
      </c>
      <c r="R184" s="54" t="n">
        <f aca="false">C184*M184</f>
        <v>16.2827141890615</v>
      </c>
      <c r="S184" s="54" t="n">
        <f aca="false">M184*G184</f>
        <v>29.2620731750072</v>
      </c>
      <c r="T184" s="54" t="n">
        <f aca="false">F184*M184</f>
        <v>17.8049193990837</v>
      </c>
      <c r="V184" s="56" t="n">
        <f aca="false">Z184+AC184</f>
        <v>5</v>
      </c>
      <c r="W184" s="56" t="n">
        <f aca="false">X184-V184</f>
        <v>26</v>
      </c>
      <c r="X184" s="85" t="n">
        <f aca="false">X172</f>
        <v>31</v>
      </c>
      <c r="Y184" s="85"/>
      <c r="Z184" s="77" t="n">
        <v>4</v>
      </c>
      <c r="AA184" s="85" t="n">
        <f aca="false">AA172</f>
        <v>9</v>
      </c>
      <c r="AB184" s="85" t="n">
        <f aca="false">AB172</f>
        <v>22</v>
      </c>
      <c r="AC184" s="0" t="n">
        <v>1</v>
      </c>
      <c r="AD184" s="0" t="n">
        <f aca="false">X184*24</f>
        <v>744</v>
      </c>
      <c r="AE184" s="0" t="n">
        <f aca="false">W184*16</f>
        <v>416</v>
      </c>
      <c r="AF184" s="0" t="n">
        <f aca="false">V184*24+W184*8</f>
        <v>328</v>
      </c>
      <c r="AH184" s="0" t="n">
        <f aca="false">X184*24</f>
        <v>744</v>
      </c>
      <c r="AI184" s="0" t="n">
        <f aca="false">AB184*16</f>
        <v>352</v>
      </c>
      <c r="AJ184" s="0" t="n">
        <f aca="false">AB184*13</f>
        <v>286</v>
      </c>
      <c r="AK184" s="0" t="n">
        <f aca="false">AB184*14</f>
        <v>308</v>
      </c>
      <c r="AL184" s="0" t="n">
        <f aca="false">AB184*8</f>
        <v>176</v>
      </c>
      <c r="AM184" s="0" t="n">
        <f aca="false">AA184*24</f>
        <v>216</v>
      </c>
      <c r="AO184" s="68" t="n">
        <f aca="false">AI184/AH184</f>
        <v>0.473118279569893</v>
      </c>
      <c r="AP184" s="68" t="n">
        <f aca="false">AL184/AH184</f>
        <v>0.236559139784946</v>
      </c>
      <c r="AQ184" s="68" t="n">
        <f aca="false">1-(AO184+AP184)</f>
        <v>0.290322580645161</v>
      </c>
      <c r="AR184" s="48" t="n">
        <f aca="false">AQ184+AP184</f>
        <v>0.526881720430108</v>
      </c>
    </row>
    <row r="185" customFormat="false" ht="12.75" hidden="false" customHeight="false" outlineLevel="0" collapsed="false">
      <c r="A185" s="52" t="n">
        <v>41791</v>
      </c>
      <c r="B185" s="59" t="n">
        <v>29.63</v>
      </c>
      <c r="C185" s="59" t="n">
        <v>12.5166666666667</v>
      </c>
      <c r="D185" s="60" t="n">
        <v>29.7</v>
      </c>
      <c r="E185" s="60" t="n">
        <v>22.275</v>
      </c>
      <c r="F185" s="60" t="n">
        <f aca="false">((G185*AD185)-(B185*AE185))*(1/AF185)</f>
        <v>14.95625</v>
      </c>
      <c r="G185" s="54" t="n">
        <f aca="false">((Z185*16*E185)+(B185*W185*16)+(X185*8*C185))/(X185*24)</f>
        <v>23.1083333333333</v>
      </c>
      <c r="H185" s="54" t="n">
        <f aca="false">(F185*AF185+B185*AE185)/AD185</f>
        <v>23.1083333333333</v>
      </c>
      <c r="I185" s="54" t="n">
        <f aca="false">B185*$C$5+F185*$C$6</f>
        <v>23.17355</v>
      </c>
      <c r="K185" s="76" t="n">
        <v>4.04019706954587</v>
      </c>
      <c r="M185" s="71" t="n">
        <v>1.302697253254</v>
      </c>
      <c r="N185" s="71" t="n">
        <v>0.064864184921048</v>
      </c>
      <c r="O185" s="35" t="n">
        <f aca="false">1/((1+N185)^((A185-$B$2)/365))</f>
        <v>2.03802669029735</v>
      </c>
      <c r="Q185" s="54" t="n">
        <f aca="false">M185*B185</f>
        <v>38.598919613916</v>
      </c>
      <c r="R185" s="54" t="n">
        <f aca="false">C185*M185</f>
        <v>16.3054272865626</v>
      </c>
      <c r="S185" s="54" t="n">
        <f aca="false">M185*G185</f>
        <v>30.1031623606112</v>
      </c>
      <c r="T185" s="54" t="n">
        <f aca="false">F185*M185</f>
        <v>19.4834657939801</v>
      </c>
      <c r="V185" s="56" t="n">
        <f aca="false">Z185+AC185</f>
        <v>5</v>
      </c>
      <c r="W185" s="56" t="n">
        <f aca="false">X185-V185</f>
        <v>25</v>
      </c>
      <c r="X185" s="85" t="n">
        <f aca="false">X173</f>
        <v>30</v>
      </c>
      <c r="Y185" s="85"/>
      <c r="Z185" s="77" t="n">
        <v>5</v>
      </c>
      <c r="AA185" s="85" t="n">
        <f aca="false">AA173</f>
        <v>8</v>
      </c>
      <c r="AB185" s="85" t="n">
        <f aca="false">AB173</f>
        <v>22</v>
      </c>
      <c r="AD185" s="0" t="n">
        <f aca="false">X185*24</f>
        <v>720</v>
      </c>
      <c r="AE185" s="0" t="n">
        <f aca="false">W185*16</f>
        <v>400</v>
      </c>
      <c r="AF185" s="0" t="n">
        <f aca="false">V185*24+W185*8</f>
        <v>320</v>
      </c>
      <c r="AH185" s="0" t="n">
        <f aca="false">X185*24</f>
        <v>720</v>
      </c>
      <c r="AI185" s="0" t="n">
        <f aca="false">AB185*16</f>
        <v>352</v>
      </c>
      <c r="AJ185" s="0" t="n">
        <f aca="false">AB185*13</f>
        <v>286</v>
      </c>
      <c r="AK185" s="0" t="n">
        <f aca="false">AB185*14</f>
        <v>308</v>
      </c>
      <c r="AL185" s="0" t="n">
        <f aca="false">AB185*8</f>
        <v>176</v>
      </c>
      <c r="AM185" s="0" t="n">
        <f aca="false">AA185*24</f>
        <v>192</v>
      </c>
      <c r="AO185" s="68" t="n">
        <f aca="false">AI185/AH185</f>
        <v>0.488888888888889</v>
      </c>
      <c r="AP185" s="68" t="n">
        <f aca="false">AL185/AH185</f>
        <v>0.244444444444444</v>
      </c>
      <c r="AQ185" s="68" t="n">
        <f aca="false">1-(AO185+AP185)</f>
        <v>0.266666666666667</v>
      </c>
      <c r="AR185" s="48" t="n">
        <f aca="false">AQ185+AP185</f>
        <v>0.511111111111111</v>
      </c>
    </row>
    <row r="186" customFormat="false" ht="12.75" hidden="false" customHeight="false" outlineLevel="0" collapsed="false">
      <c r="A186" s="52" t="n">
        <v>41821</v>
      </c>
      <c r="B186" s="59" t="n">
        <v>49.38</v>
      </c>
      <c r="C186" s="59" t="n">
        <v>26.1451612903226</v>
      </c>
      <c r="D186" s="60" t="n">
        <v>49.2</v>
      </c>
      <c r="E186" s="60" t="n">
        <v>37.275</v>
      </c>
      <c r="F186" s="60" t="n">
        <f aca="false">((G186*AD186)-(B186*AE186))*(1/AF186)</f>
        <v>27.0414634146341</v>
      </c>
      <c r="G186" s="54" t="n">
        <f aca="false">((Z186*16*E186)+(B186*W186*16)+(X186*8*C186))/(X186*24)</f>
        <v>39.5318279569893</v>
      </c>
      <c r="H186" s="54" t="n">
        <f aca="false">(F186*AF186+B186*AE186)/AD186</f>
        <v>39.5318279569893</v>
      </c>
      <c r="I186" s="54" t="n">
        <f aca="false">B186*$C$5+F186*$C$6</f>
        <v>39.551043902439</v>
      </c>
      <c r="K186" s="76" t="n">
        <v>4.02534341811567</v>
      </c>
      <c r="M186" s="71" t="n">
        <v>1.301964905438</v>
      </c>
      <c r="N186" s="71" t="n">
        <v>0.064883835236399</v>
      </c>
      <c r="O186" s="35" t="n">
        <f aca="false">1/((1+N186)^((A186-$B$2)/365))</f>
        <v>2.02794717489823</v>
      </c>
      <c r="Q186" s="54" t="n">
        <f aca="false">M186*B186</f>
        <v>64.2910270305285</v>
      </c>
      <c r="R186" s="54" t="n">
        <f aca="false">C186*M186</f>
        <v>34.0400824470161</v>
      </c>
      <c r="S186" s="54" t="n">
        <f aca="false">M186*G186</f>
        <v>51.4690526478128</v>
      </c>
      <c r="T186" s="54" t="n">
        <f aca="false">F186*M186</f>
        <v>35.2070363575393</v>
      </c>
      <c r="V186" s="56" t="n">
        <f aca="false">Z186+AC186</f>
        <v>5</v>
      </c>
      <c r="W186" s="56" t="n">
        <f aca="false">X186-V186</f>
        <v>26</v>
      </c>
      <c r="X186" s="85" t="n">
        <f aca="false">X174</f>
        <v>31</v>
      </c>
      <c r="Y186" s="85"/>
      <c r="Z186" s="77" t="n">
        <v>4</v>
      </c>
      <c r="AA186" s="85" t="n">
        <f aca="false">AA174</f>
        <v>10</v>
      </c>
      <c r="AB186" s="85" t="n">
        <f aca="false">AB174</f>
        <v>21</v>
      </c>
      <c r="AC186" s="0" t="n">
        <v>1</v>
      </c>
      <c r="AD186" s="0" t="n">
        <f aca="false">X186*24</f>
        <v>744</v>
      </c>
      <c r="AE186" s="0" t="n">
        <f aca="false">W186*16</f>
        <v>416</v>
      </c>
      <c r="AF186" s="0" t="n">
        <f aca="false">V186*24+W186*8</f>
        <v>328</v>
      </c>
      <c r="AH186" s="0" t="n">
        <f aca="false">X186*24</f>
        <v>744</v>
      </c>
      <c r="AI186" s="0" t="n">
        <f aca="false">AB186*16</f>
        <v>336</v>
      </c>
      <c r="AJ186" s="0" t="n">
        <f aca="false">AB186*13</f>
        <v>273</v>
      </c>
      <c r="AK186" s="0" t="n">
        <f aca="false">AB186*14</f>
        <v>294</v>
      </c>
      <c r="AL186" s="0" t="n">
        <f aca="false">AB186*8</f>
        <v>168</v>
      </c>
      <c r="AM186" s="0" t="n">
        <f aca="false">AA186*24</f>
        <v>240</v>
      </c>
      <c r="AO186" s="68" t="n">
        <f aca="false">AI186/AH186</f>
        <v>0.451612903225806</v>
      </c>
      <c r="AP186" s="68" t="n">
        <f aca="false">AL186/AH186</f>
        <v>0.225806451612903</v>
      </c>
      <c r="AQ186" s="68" t="n">
        <f aca="false">1-(AO186+AP186)</f>
        <v>0.32258064516129</v>
      </c>
      <c r="AR186" s="48" t="n">
        <f aca="false">AQ186+AP186</f>
        <v>0.548387096774194</v>
      </c>
    </row>
    <row r="187" customFormat="false" ht="12.75" hidden="false" customHeight="false" outlineLevel="0" collapsed="false">
      <c r="A187" s="52" t="n">
        <v>41852</v>
      </c>
      <c r="B187" s="59" t="n">
        <v>66.88</v>
      </c>
      <c r="C187" s="59" t="n">
        <v>28.1129032258065</v>
      </c>
      <c r="D187" s="60" t="n">
        <v>67.95</v>
      </c>
      <c r="E187" s="60" t="n">
        <v>51.15</v>
      </c>
      <c r="F187" s="60" t="n">
        <f aca="false">((G187*AD187)-(B187*AE187))*(1/AF187)</f>
        <v>33.7317073170732</v>
      </c>
      <c r="G187" s="54" t="n">
        <f aca="false">((Z187*16*E187)+(B187*W187*16)+(X187*8*C187))/(X187*24)</f>
        <v>52.2662365591398</v>
      </c>
      <c r="H187" s="54" t="n">
        <f aca="false">(F187*AF187+B187*AE187)/AD187</f>
        <v>52.2662365591398</v>
      </c>
      <c r="I187" s="54" t="n">
        <f aca="false">B187*$C$5+F187*$C$6</f>
        <v>52.2947512195122</v>
      </c>
      <c r="K187" s="76" t="n">
        <v>4.02283629023929</v>
      </c>
      <c r="M187" s="71" t="n">
        <v>1.301212202617</v>
      </c>
      <c r="N187" s="71" t="n">
        <v>0.064904140562396</v>
      </c>
      <c r="O187" s="35" t="n">
        <f aca="false">1/((1+N187)^((A187-$B$2)/365))</f>
        <v>2.01757760589187</v>
      </c>
      <c r="Q187" s="54" t="n">
        <f aca="false">M187*B187</f>
        <v>87.025072111025</v>
      </c>
      <c r="R187" s="54" t="n">
        <f aca="false">C187*M187</f>
        <v>36.5808527284102</v>
      </c>
      <c r="S187" s="54" t="n">
        <f aca="false">M187*G187</f>
        <v>68.0094647956195</v>
      </c>
      <c r="T187" s="54" t="n">
        <f aca="false">F187*M187</f>
        <v>43.8921091760808</v>
      </c>
      <c r="V187" s="56" t="n">
        <f aca="false">Z187+AC187</f>
        <v>5</v>
      </c>
      <c r="W187" s="56" t="n">
        <f aca="false">X187-V187</f>
        <v>26</v>
      </c>
      <c r="X187" s="85" t="n">
        <f aca="false">X175</f>
        <v>31</v>
      </c>
      <c r="Y187" s="85"/>
      <c r="Z187" s="77" t="n">
        <v>5</v>
      </c>
      <c r="AA187" s="85" t="n">
        <f aca="false">AA175</f>
        <v>8</v>
      </c>
      <c r="AB187" s="85" t="n">
        <f aca="false">AB175</f>
        <v>23</v>
      </c>
      <c r="AD187" s="0" t="n">
        <f aca="false">X187*24</f>
        <v>744</v>
      </c>
      <c r="AE187" s="0" t="n">
        <f aca="false">W187*16</f>
        <v>416</v>
      </c>
      <c r="AF187" s="0" t="n">
        <f aca="false">V187*24+W187*8</f>
        <v>328</v>
      </c>
      <c r="AH187" s="0" t="n">
        <f aca="false">X187*24</f>
        <v>744</v>
      </c>
      <c r="AI187" s="0" t="n">
        <f aca="false">AB187*16</f>
        <v>368</v>
      </c>
      <c r="AJ187" s="0" t="n">
        <f aca="false">AB187*13</f>
        <v>299</v>
      </c>
      <c r="AK187" s="0" t="n">
        <f aca="false">AB187*14</f>
        <v>322</v>
      </c>
      <c r="AL187" s="0" t="n">
        <f aca="false">AB187*8</f>
        <v>184</v>
      </c>
      <c r="AM187" s="0" t="n">
        <f aca="false">AA187*24</f>
        <v>192</v>
      </c>
      <c r="AO187" s="68" t="n">
        <f aca="false">AI187/AH187</f>
        <v>0.494623655913979</v>
      </c>
      <c r="AP187" s="68" t="n">
        <f aca="false">AL187/AH187</f>
        <v>0.247311827956989</v>
      </c>
      <c r="AQ187" s="68" t="n">
        <f aca="false">1-(AO187+AP187)</f>
        <v>0.258064516129032</v>
      </c>
      <c r="AR187" s="48" t="n">
        <f aca="false">AQ187+AP187</f>
        <v>0.505376344086022</v>
      </c>
    </row>
    <row r="188" customFormat="false" ht="12.75" hidden="false" customHeight="false" outlineLevel="0" collapsed="false">
      <c r="A188" s="52" t="n">
        <v>41883</v>
      </c>
      <c r="B188" s="59" t="n">
        <v>64.38</v>
      </c>
      <c r="C188" s="59" t="n">
        <v>26.3</v>
      </c>
      <c r="D188" s="60" t="n">
        <v>63.2</v>
      </c>
      <c r="E188" s="60" t="n">
        <v>47.5875</v>
      </c>
      <c r="F188" s="60" t="n">
        <f aca="false">((G188*AD188)-(B188*AE188))*(1/AF188)</f>
        <v>29.2425</v>
      </c>
      <c r="G188" s="54" t="n">
        <f aca="false">((Z188*16*E188)+(B188*W188*16)+(X188*8*C188))/(X188*24)</f>
        <v>48.7633333333333</v>
      </c>
      <c r="H188" s="54" t="n">
        <f aca="false">(F188*AF188+B188*AE188)/AD188</f>
        <v>48.7633333333333</v>
      </c>
      <c r="I188" s="54" t="n">
        <f aca="false">B188*$C$5+F188*$C$6</f>
        <v>48.9195</v>
      </c>
      <c r="K188" s="76" t="n">
        <v>4.00051195937392</v>
      </c>
      <c r="M188" s="71" t="n">
        <v>1.300463616254</v>
      </c>
      <c r="N188" s="71" t="n">
        <v>0.06492444588853</v>
      </c>
      <c r="O188" s="35" t="n">
        <f aca="false">1/((1+N188)^((A188-$B$2)/365))</f>
        <v>2.00725455048265</v>
      </c>
      <c r="Q188" s="54" t="n">
        <f aca="false">M188*B188</f>
        <v>83.7238476144325</v>
      </c>
      <c r="R188" s="54" t="n">
        <f aca="false">C188*M188</f>
        <v>34.2021931074802</v>
      </c>
      <c r="S188" s="54" t="n">
        <f aca="false">M188*G188</f>
        <v>63.4149408072659</v>
      </c>
      <c r="T188" s="54" t="n">
        <f aca="false">F188*M188</f>
        <v>38.0288072983076</v>
      </c>
      <c r="V188" s="56" t="n">
        <f aca="false">Z188+AC188</f>
        <v>5</v>
      </c>
      <c r="W188" s="56" t="n">
        <f aca="false">X188-V188</f>
        <v>25</v>
      </c>
      <c r="X188" s="85" t="n">
        <f aca="false">X176</f>
        <v>30</v>
      </c>
      <c r="Y188" s="85"/>
      <c r="Z188" s="77" t="n">
        <v>4</v>
      </c>
      <c r="AA188" s="85" t="n">
        <f aca="false">AA176</f>
        <v>8</v>
      </c>
      <c r="AB188" s="85" t="n">
        <f aca="false">AB176</f>
        <v>22</v>
      </c>
      <c r="AC188" s="0" t="n">
        <v>1</v>
      </c>
      <c r="AD188" s="0" t="n">
        <f aca="false">X188*24</f>
        <v>720</v>
      </c>
      <c r="AE188" s="0" t="n">
        <f aca="false">W188*16</f>
        <v>400</v>
      </c>
      <c r="AF188" s="0" t="n">
        <f aca="false">V188*24+W188*8</f>
        <v>320</v>
      </c>
      <c r="AH188" s="0" t="n">
        <f aca="false">X188*24</f>
        <v>720</v>
      </c>
      <c r="AI188" s="0" t="n">
        <f aca="false">AB188*16</f>
        <v>352</v>
      </c>
      <c r="AJ188" s="0" t="n">
        <f aca="false">AB188*13</f>
        <v>286</v>
      </c>
      <c r="AK188" s="0" t="n">
        <f aca="false">AB188*14</f>
        <v>308</v>
      </c>
      <c r="AL188" s="0" t="n">
        <f aca="false">AB188*8</f>
        <v>176</v>
      </c>
      <c r="AM188" s="0" t="n">
        <f aca="false">AA188*24</f>
        <v>192</v>
      </c>
      <c r="AO188" s="68" t="n">
        <f aca="false">AI188/AH188</f>
        <v>0.488888888888889</v>
      </c>
      <c r="AP188" s="68" t="n">
        <f aca="false">AL188/AH188</f>
        <v>0.244444444444444</v>
      </c>
      <c r="AQ188" s="68" t="n">
        <f aca="false">1-(AO188+AP188)</f>
        <v>0.266666666666667</v>
      </c>
      <c r="AR188" s="48" t="n">
        <f aca="false">AQ188+AP188</f>
        <v>0.511111111111111</v>
      </c>
    </row>
    <row r="189" customFormat="false" ht="12.75" hidden="false" customHeight="false" outlineLevel="0" collapsed="false">
      <c r="A189" s="52" t="n">
        <v>41913</v>
      </c>
      <c r="B189" s="59" t="n">
        <v>40.88</v>
      </c>
      <c r="C189" s="59" t="n">
        <v>32.7338709677419</v>
      </c>
      <c r="D189" s="60" t="n">
        <v>41.45</v>
      </c>
      <c r="E189" s="60" t="n">
        <v>31.0875</v>
      </c>
      <c r="F189" s="60" t="n">
        <f aca="false">((G189*AD189)-(B189*AE189))*(1/AF189)</f>
        <v>32.3961538461538</v>
      </c>
      <c r="G189" s="54" t="n">
        <f aca="false">((Z189*16*E189)+(B189*W189*16)+(X189*8*C189))/(X189*24)</f>
        <v>37.3222580645161</v>
      </c>
      <c r="H189" s="54" t="n">
        <f aca="false">(F189*AF189+B189*AE189)/AD189</f>
        <v>37.3222580645161</v>
      </c>
      <c r="I189" s="54" t="n">
        <f aca="false">B189*$C$5+F189*$C$6</f>
        <v>37.1471076923077</v>
      </c>
      <c r="K189" s="76" t="n">
        <v>4.00926747310616</v>
      </c>
      <c r="M189" s="71" t="n">
        <v>1.299743090972</v>
      </c>
      <c r="N189" s="71" t="n">
        <v>0.064944096204273</v>
      </c>
      <c r="O189" s="35" t="n">
        <f aca="false">1/((1+N189)^((A189-$B$2)/365))</f>
        <v>1.99730862291341</v>
      </c>
      <c r="Q189" s="54" t="n">
        <f aca="false">M189*B189</f>
        <v>53.1334975589354</v>
      </c>
      <c r="R189" s="54" t="n">
        <f aca="false">C189*M189</f>
        <v>42.5456226310915</v>
      </c>
      <c r="S189" s="54" t="n">
        <f aca="false">M189*G189</f>
        <v>48.5093470588289</v>
      </c>
      <c r="T189" s="54" t="n">
        <f aca="false">F189*M189</f>
        <v>42.1066771356044</v>
      </c>
      <c r="V189" s="56" t="n">
        <f aca="false">Z189+AC189</f>
        <v>4</v>
      </c>
      <c r="W189" s="56" t="n">
        <f aca="false">X189-V189</f>
        <v>27</v>
      </c>
      <c r="X189" s="85" t="n">
        <f aca="false">X177</f>
        <v>31</v>
      </c>
      <c r="Y189" s="85"/>
      <c r="Z189" s="77" t="n">
        <v>4</v>
      </c>
      <c r="AA189" s="85" t="n">
        <f aca="false">AA177</f>
        <v>10</v>
      </c>
      <c r="AB189" s="85" t="n">
        <f aca="false">AB177</f>
        <v>21</v>
      </c>
      <c r="AD189" s="0" t="n">
        <f aca="false">X189*24</f>
        <v>744</v>
      </c>
      <c r="AE189" s="0" t="n">
        <f aca="false">W189*16</f>
        <v>432</v>
      </c>
      <c r="AF189" s="0" t="n">
        <f aca="false">V189*24+W189*8</f>
        <v>312</v>
      </c>
      <c r="AH189" s="0" t="n">
        <f aca="false">X189*24</f>
        <v>744</v>
      </c>
      <c r="AI189" s="0" t="n">
        <f aca="false">AB189*16</f>
        <v>336</v>
      </c>
      <c r="AJ189" s="0" t="n">
        <f aca="false">AB189*13</f>
        <v>273</v>
      </c>
      <c r="AK189" s="0" t="n">
        <f aca="false">AB189*14</f>
        <v>294</v>
      </c>
      <c r="AL189" s="0" t="n">
        <f aca="false">AB189*8</f>
        <v>168</v>
      </c>
      <c r="AM189" s="0" t="n">
        <f aca="false">AA189*24</f>
        <v>240</v>
      </c>
      <c r="AO189" s="68" t="n">
        <f aca="false">AI189/AH189</f>
        <v>0.451612903225806</v>
      </c>
      <c r="AP189" s="68" t="n">
        <f aca="false">AL189/AH189</f>
        <v>0.225806451612903</v>
      </c>
      <c r="AQ189" s="68" t="n">
        <f aca="false">1-(AO189+AP189)</f>
        <v>0.32258064516129</v>
      </c>
      <c r="AR189" s="48" t="n">
        <f aca="false">AQ189+AP189</f>
        <v>0.548387096774194</v>
      </c>
    </row>
    <row r="190" customFormat="false" ht="12.75" hidden="false" customHeight="false" outlineLevel="0" collapsed="false">
      <c r="A190" s="52" t="n">
        <v>41944</v>
      </c>
      <c r="B190" s="59" t="n">
        <v>39.88</v>
      </c>
      <c r="C190" s="59" t="n">
        <v>30.7916666666667</v>
      </c>
      <c r="D190" s="60" t="n">
        <v>40.2</v>
      </c>
      <c r="E190" s="60" t="n">
        <v>30.15</v>
      </c>
      <c r="F190" s="60" t="n">
        <f aca="false">((G190*AD190)-(B190*AE190))*(1/AF190)</f>
        <v>29.172619047619</v>
      </c>
      <c r="G190" s="54" t="n">
        <f aca="false">((Z190*16*E190)+(B190*W190*16)+(X190*8*C190))/(X190*24)</f>
        <v>34.8832222222222</v>
      </c>
      <c r="H190" s="54" t="n">
        <f aca="false">(F190*AF190+B190*AE190)/AD190</f>
        <v>34.8832222222222</v>
      </c>
      <c r="I190" s="54" t="n">
        <f aca="false">B190*$C$5+F190*$C$6</f>
        <v>35.1687523809524</v>
      </c>
      <c r="K190" s="76" t="n">
        <v>4.08354520395351</v>
      </c>
      <c r="M190" s="71" t="n">
        <v>1.299002585302</v>
      </c>
      <c r="N190" s="71" t="n">
        <v>0.064964401530676</v>
      </c>
      <c r="O190" s="35" t="n">
        <f aca="false">1/((1+N190)^((A190-$B$2)/365))</f>
        <v>1.98707659529755</v>
      </c>
      <c r="Q190" s="54" t="n">
        <f aca="false">M190*B190</f>
        <v>51.8042231018438</v>
      </c>
      <c r="R190" s="54" t="n">
        <f aca="false">C190*M190</f>
        <v>39.9984546057574</v>
      </c>
      <c r="S190" s="54" t="n">
        <f aca="false">M190*G190</f>
        <v>45.3133958503309</v>
      </c>
      <c r="T190" s="54" t="n">
        <f aca="false">F190*M190</f>
        <v>37.8953075628875</v>
      </c>
      <c r="V190" s="56" t="n">
        <f aca="false">Z190+AC190</f>
        <v>6</v>
      </c>
      <c r="W190" s="56" t="n">
        <f aca="false">X190-V190</f>
        <v>24</v>
      </c>
      <c r="X190" s="85" t="n">
        <f aca="false">X178</f>
        <v>30</v>
      </c>
      <c r="Y190" s="85"/>
      <c r="Z190" s="77" t="n">
        <v>5</v>
      </c>
      <c r="AA190" s="85" t="n">
        <f aca="false">AA178</f>
        <v>8</v>
      </c>
      <c r="AB190" s="85" t="n">
        <f aca="false">AB178</f>
        <v>22</v>
      </c>
      <c r="AC190" s="0" t="n">
        <v>1</v>
      </c>
      <c r="AD190" s="0" t="n">
        <f aca="false">X190*24</f>
        <v>720</v>
      </c>
      <c r="AE190" s="0" t="n">
        <f aca="false">W190*16</f>
        <v>384</v>
      </c>
      <c r="AF190" s="0" t="n">
        <f aca="false">V190*24+W190*8</f>
        <v>336</v>
      </c>
      <c r="AH190" s="0" t="n">
        <f aca="false">X190*24</f>
        <v>720</v>
      </c>
      <c r="AI190" s="0" t="n">
        <f aca="false">AB190*16</f>
        <v>352</v>
      </c>
      <c r="AJ190" s="0" t="n">
        <f aca="false">AB190*13</f>
        <v>286</v>
      </c>
      <c r="AK190" s="0" t="n">
        <f aca="false">AB190*14</f>
        <v>308</v>
      </c>
      <c r="AL190" s="0" t="n">
        <f aca="false">AB190*8</f>
        <v>176</v>
      </c>
      <c r="AM190" s="0" t="n">
        <f aca="false">AA190*24</f>
        <v>192</v>
      </c>
      <c r="AO190" s="68" t="n">
        <f aca="false">AI190/AH190</f>
        <v>0.488888888888889</v>
      </c>
      <c r="AP190" s="68" t="n">
        <f aca="false">AL190/AH190</f>
        <v>0.244444444444444</v>
      </c>
      <c r="AQ190" s="68" t="n">
        <f aca="false">1-(AO190+AP190)</f>
        <v>0.266666666666667</v>
      </c>
      <c r="AR190" s="48" t="n">
        <f aca="false">AQ190+AP190</f>
        <v>0.511111111111111</v>
      </c>
    </row>
    <row r="191" customFormat="false" ht="12.75" hidden="false" customHeight="false" outlineLevel="0" collapsed="false">
      <c r="A191" s="52" t="n">
        <v>41974</v>
      </c>
      <c r="B191" s="59" t="n">
        <v>40.13</v>
      </c>
      <c r="C191" s="59" t="n">
        <v>30.7661290322581</v>
      </c>
      <c r="D191" s="60" t="n">
        <v>40.45</v>
      </c>
      <c r="E191" s="60" t="n">
        <v>30.3375</v>
      </c>
      <c r="F191" s="60" t="n">
        <f aca="false">((G191*AD191)-(B191*AE191))*(1/AF191)</f>
        <v>29.1817073170732</v>
      </c>
      <c r="G191" s="54" t="n">
        <f aca="false">((Z191*16*E191)+(B191*W191*16)+(X191*8*C191))/(X191*24)</f>
        <v>35.3033333333333</v>
      </c>
      <c r="H191" s="54" t="n">
        <f aca="false">(F191*AF191+B191*AE191)/AD191</f>
        <v>35.3033333333333</v>
      </c>
      <c r="I191" s="54" t="n">
        <f aca="false">B191*$C$5+F191*$C$6</f>
        <v>35.3127512195122</v>
      </c>
      <c r="K191" s="86" t="n">
        <v>4.17885303931158</v>
      </c>
      <c r="M191" s="87" t="n">
        <v>1.298289867662</v>
      </c>
      <c r="N191" s="87" t="n">
        <v>0.06498405184668</v>
      </c>
      <c r="O191" s="35" t="n">
        <f aca="false">1/((1+N191)^((A191-$B$2)/365))</f>
        <v>1.97721843989094</v>
      </c>
      <c r="Q191" s="54" t="n">
        <f aca="false">M191*B191</f>
        <v>52.1003723892761</v>
      </c>
      <c r="R191" s="54" t="n">
        <f aca="false">C191*M191</f>
        <v>39.9433535897623</v>
      </c>
      <c r="S191" s="54" t="n">
        <f aca="false">M191*G191</f>
        <v>45.8339599613608</v>
      </c>
      <c r="T191" s="54" t="n">
        <f aca="false">F191*M191</f>
        <v>37.8863149308342</v>
      </c>
      <c r="V191" s="56" t="n">
        <f aca="false">Z191+AC191</f>
        <v>5</v>
      </c>
      <c r="W191" s="56" t="n">
        <f aca="false">X191-V191</f>
        <v>26</v>
      </c>
      <c r="X191" s="85" t="n">
        <f aca="false">X179</f>
        <v>31</v>
      </c>
      <c r="Y191" s="85"/>
      <c r="Z191" s="77" t="n">
        <v>4</v>
      </c>
      <c r="AA191" s="85" t="n">
        <f aca="false">AA179</f>
        <v>9</v>
      </c>
      <c r="AB191" s="85" t="n">
        <f aca="false">AB179</f>
        <v>22</v>
      </c>
      <c r="AC191" s="0" t="n">
        <v>1</v>
      </c>
      <c r="AD191" s="0" t="n">
        <f aca="false">X191*24</f>
        <v>744</v>
      </c>
      <c r="AE191" s="0" t="n">
        <f aca="false">W191*16</f>
        <v>416</v>
      </c>
      <c r="AF191" s="0" t="n">
        <f aca="false">V191*24+W191*8</f>
        <v>328</v>
      </c>
      <c r="AH191" s="0" t="n">
        <f aca="false">X191*24</f>
        <v>744</v>
      </c>
      <c r="AI191" s="0" t="n">
        <f aca="false">AB191*16</f>
        <v>352</v>
      </c>
      <c r="AJ191" s="0" t="n">
        <f aca="false">AB191*13</f>
        <v>286</v>
      </c>
      <c r="AK191" s="0" t="n">
        <f aca="false">AB191*14</f>
        <v>308</v>
      </c>
      <c r="AL191" s="0" t="n">
        <f aca="false">AB191*8</f>
        <v>176</v>
      </c>
      <c r="AM191" s="0" t="n">
        <f aca="false">AA191*24</f>
        <v>216</v>
      </c>
      <c r="AO191" s="68" t="n">
        <f aca="false">AI191/AH191</f>
        <v>0.473118279569893</v>
      </c>
      <c r="AP191" s="68" t="n">
        <f aca="false">AL191/AH191</f>
        <v>0.236559139784946</v>
      </c>
      <c r="AQ191" s="68" t="n">
        <f aca="false">1-(AO191+AP191)</f>
        <v>0.290322580645161</v>
      </c>
      <c r="AR191" s="48" t="n">
        <f aca="false">AQ191+AP191</f>
        <v>0.526881720430108</v>
      </c>
    </row>
    <row r="192" customFormat="false" ht="12.75" hidden="false" customHeight="false" outlineLevel="0" collapsed="false">
      <c r="A192" s="52" t="n">
        <v>42005</v>
      </c>
      <c r="B192" s="59" t="n">
        <v>36.15</v>
      </c>
      <c r="C192" s="59" t="n">
        <v>28.9741935483871</v>
      </c>
      <c r="D192" s="60" t="n">
        <v>36.3</v>
      </c>
      <c r="E192" s="60" t="n">
        <v>27.225</v>
      </c>
      <c r="F192" s="60" t="n">
        <f aca="false">((G192*AD192)-(B192*AE192))*(1/AF192)</f>
        <v>27.219512195122</v>
      </c>
      <c r="G192" s="54" t="n">
        <f aca="false">((Z192*16*E192)+(B192*W192*16)+(X192*8*C192))/(X192*24)</f>
        <v>32.2129032258065</v>
      </c>
      <c r="H192" s="54" t="n">
        <f aca="false">(F192*AF192+B192*AE192)/AD192</f>
        <v>32.2129032258065</v>
      </c>
      <c r="I192" s="54" t="n">
        <f aca="false">B192*$C$5+F192*$C$6</f>
        <v>32.2205853658537</v>
      </c>
      <c r="K192" s="88"/>
      <c r="M192" s="89"/>
      <c r="N192" s="90"/>
      <c r="V192" s="56" t="n">
        <f aca="false">Z192+AC192</f>
        <v>5</v>
      </c>
      <c r="W192" s="56" t="n">
        <f aca="false">X192-V192</f>
        <v>26</v>
      </c>
      <c r="X192" s="85" t="n">
        <f aca="false">X180</f>
        <v>31</v>
      </c>
      <c r="Y192" s="85"/>
      <c r="Z192" s="78" t="n">
        <v>4</v>
      </c>
      <c r="AA192" s="85" t="n">
        <f aca="false">AA180</f>
        <v>10</v>
      </c>
      <c r="AB192" s="85" t="n">
        <f aca="false">AB180</f>
        <v>21</v>
      </c>
      <c r="AC192" s="0" t="n">
        <v>1</v>
      </c>
      <c r="AD192" s="0" t="n">
        <f aca="false">X192*24</f>
        <v>744</v>
      </c>
      <c r="AE192" s="0" t="n">
        <f aca="false">W192*16</f>
        <v>416</v>
      </c>
      <c r="AF192" s="0" t="n">
        <f aca="false">V192*24+W192*8</f>
        <v>328</v>
      </c>
      <c r="AH192" s="0" t="n">
        <f aca="false">X192*24</f>
        <v>744</v>
      </c>
      <c r="AI192" s="0" t="n">
        <f aca="false">AB192*16</f>
        <v>336</v>
      </c>
      <c r="AJ192" s="0" t="n">
        <f aca="false">AB192*13</f>
        <v>273</v>
      </c>
      <c r="AK192" s="0" t="n">
        <f aca="false">AB192*14</f>
        <v>294</v>
      </c>
      <c r="AL192" s="0" t="n">
        <f aca="false">AB192*8</f>
        <v>168</v>
      </c>
      <c r="AM192" s="0" t="n">
        <f aca="false">AA192*24</f>
        <v>240</v>
      </c>
      <c r="AO192" s="68" t="n">
        <f aca="false">AI192/AH192</f>
        <v>0.451612903225806</v>
      </c>
      <c r="AP192" s="68" t="n">
        <f aca="false">AL192/AH192</f>
        <v>0.225806451612903</v>
      </c>
      <c r="AQ192" s="68" t="n">
        <f aca="false">1-(AO192+AP192)</f>
        <v>0.32258064516129</v>
      </c>
      <c r="AR192" s="48" t="n">
        <f aca="false">AQ192+AP192</f>
        <v>0.548387096774194</v>
      </c>
    </row>
    <row r="193" customFormat="false" ht="12.75" hidden="false" customHeight="false" outlineLevel="0" collapsed="false">
      <c r="A193" s="52" t="n">
        <v>42036</v>
      </c>
      <c r="B193" s="59" t="n">
        <v>35.65</v>
      </c>
      <c r="C193" s="59" t="n">
        <v>27.0928571428571</v>
      </c>
      <c r="D193" s="60" t="n">
        <v>35.3</v>
      </c>
      <c r="E193" s="60" t="n">
        <v>26.475</v>
      </c>
      <c r="F193" s="60" t="n">
        <f aca="false">((G193*AD193)-(B193*AE193))*(1/AF193)</f>
        <v>26.9555555555555</v>
      </c>
      <c r="G193" s="54" t="n">
        <f aca="false">((Z193*16*E193)+(B193*W193*16)+(X193*8*C193))/(X193*24)</f>
        <v>31.9238095238095</v>
      </c>
      <c r="H193" s="54" t="n">
        <f aca="false">(F193*AF193+B193*AE193)/AD193</f>
        <v>31.9238095238095</v>
      </c>
      <c r="I193" s="54" t="n">
        <f aca="false">B193*$C$5+F193*$C$6</f>
        <v>31.8244444444444</v>
      </c>
      <c r="K193" s="88"/>
      <c r="M193" s="89"/>
      <c r="N193" s="90"/>
      <c r="V193" s="56" t="n">
        <f aca="false">Z193+AC193</f>
        <v>4</v>
      </c>
      <c r="W193" s="56" t="n">
        <f aca="false">X193-V193</f>
        <v>24</v>
      </c>
      <c r="X193" s="85" t="n">
        <f aca="false">X181</f>
        <v>28</v>
      </c>
      <c r="Y193" s="85"/>
      <c r="Z193" s="77" t="n">
        <v>4</v>
      </c>
      <c r="AA193" s="85" t="n">
        <f aca="false">AA181</f>
        <v>8</v>
      </c>
      <c r="AB193" s="85" t="n">
        <f aca="false">AB181</f>
        <v>20</v>
      </c>
      <c r="AD193" s="0" t="n">
        <f aca="false">X193*24</f>
        <v>672</v>
      </c>
      <c r="AE193" s="0" t="n">
        <f aca="false">W193*16</f>
        <v>384</v>
      </c>
      <c r="AF193" s="0" t="n">
        <f aca="false">V193*24+W193*8</f>
        <v>288</v>
      </c>
      <c r="AH193" s="0" t="n">
        <f aca="false">X193*24</f>
        <v>672</v>
      </c>
      <c r="AI193" s="0" t="n">
        <f aca="false">AB193*16</f>
        <v>320</v>
      </c>
      <c r="AJ193" s="0" t="n">
        <f aca="false">AB193*13</f>
        <v>260</v>
      </c>
      <c r="AK193" s="0" t="n">
        <f aca="false">AB193*14</f>
        <v>280</v>
      </c>
      <c r="AL193" s="0" t="n">
        <f aca="false">AB193*8</f>
        <v>160</v>
      </c>
      <c r="AM193" s="0" t="n">
        <f aca="false">AA193*24</f>
        <v>192</v>
      </c>
      <c r="AO193" s="68" t="n">
        <f aca="false">AI193/AH193</f>
        <v>0.476190476190476</v>
      </c>
      <c r="AP193" s="68" t="n">
        <f aca="false">AL193/AH193</f>
        <v>0.238095238095238</v>
      </c>
      <c r="AQ193" s="68" t="n">
        <f aca="false">1-(AO193+AP193)</f>
        <v>0.285714285714286</v>
      </c>
      <c r="AR193" s="48" t="n">
        <f aca="false">AQ193+AP193</f>
        <v>0.523809523809524</v>
      </c>
    </row>
    <row r="194" customFormat="false" ht="12.75" hidden="false" customHeight="false" outlineLevel="0" collapsed="false">
      <c r="A194" s="52" t="n">
        <v>42064</v>
      </c>
      <c r="B194" s="59" t="n">
        <v>33.1175</v>
      </c>
      <c r="C194" s="59" t="n">
        <v>26.0629032258065</v>
      </c>
      <c r="D194" s="60" t="n">
        <v>33.2475</v>
      </c>
      <c r="E194" s="60" t="n">
        <v>24.935625</v>
      </c>
      <c r="F194" s="60" t="n">
        <f aca="false">((G194*AD194)-(B194*AE194))*(1/AF194)</f>
        <v>25.7879573170732</v>
      </c>
      <c r="G194" s="54" t="n">
        <f aca="false">((Z194*16*E194)+(B194*W194*16)+(X194*8*C194))/(X194*24)</f>
        <v>29.8861962365591</v>
      </c>
      <c r="H194" s="54" t="n">
        <f aca="false">(F194*AF194+B194*AE194)/AD194</f>
        <v>29.8861962365591</v>
      </c>
      <c r="I194" s="54" t="n">
        <f aca="false">B194*$C$5+F194*$C$6</f>
        <v>29.8925012195122</v>
      </c>
      <c r="K194" s="88"/>
      <c r="M194" s="89"/>
      <c r="N194" s="90"/>
      <c r="V194" s="56" t="n">
        <f aca="false">Z194+AC194</f>
        <v>5</v>
      </c>
      <c r="W194" s="56" t="n">
        <f aca="false">X194-V194</f>
        <v>26</v>
      </c>
      <c r="X194" s="85" t="n">
        <f aca="false">X182</f>
        <v>31</v>
      </c>
      <c r="Y194" s="85"/>
      <c r="Z194" s="77" t="n">
        <v>5</v>
      </c>
      <c r="AA194" s="85" t="n">
        <f aca="false">AA182</f>
        <v>8</v>
      </c>
      <c r="AB194" s="85" t="n">
        <f aca="false">AB182</f>
        <v>23</v>
      </c>
      <c r="AD194" s="0" t="n">
        <f aca="false">X194*24</f>
        <v>744</v>
      </c>
      <c r="AE194" s="0" t="n">
        <f aca="false">W194*16</f>
        <v>416</v>
      </c>
      <c r="AF194" s="0" t="n">
        <f aca="false">V194*24+W194*8</f>
        <v>328</v>
      </c>
      <c r="AH194" s="0" t="n">
        <f aca="false">X194*24</f>
        <v>744</v>
      </c>
      <c r="AI194" s="0" t="n">
        <f aca="false">AB194*16</f>
        <v>368</v>
      </c>
      <c r="AJ194" s="0" t="n">
        <f aca="false">AB194*13</f>
        <v>299</v>
      </c>
      <c r="AK194" s="0" t="n">
        <f aca="false">AB194*14</f>
        <v>322</v>
      </c>
      <c r="AL194" s="0" t="n">
        <f aca="false">AB194*8</f>
        <v>184</v>
      </c>
      <c r="AM194" s="0" t="n">
        <f aca="false">AA194*24</f>
        <v>192</v>
      </c>
      <c r="AO194" s="68" t="n">
        <f aca="false">AI194/AH194</f>
        <v>0.494623655913979</v>
      </c>
      <c r="AP194" s="68" t="n">
        <f aca="false">AL194/AH194</f>
        <v>0.247311827956989</v>
      </c>
      <c r="AQ194" s="68" t="n">
        <f aca="false">1-(AO194+AP194)</f>
        <v>0.258064516129032</v>
      </c>
      <c r="AR194" s="48" t="n">
        <f aca="false">AQ194+AP194</f>
        <v>0.505376344086022</v>
      </c>
    </row>
    <row r="195" customFormat="false" ht="12.75" hidden="false" customHeight="false" outlineLevel="0" collapsed="false">
      <c r="A195" s="52" t="n">
        <v>42095</v>
      </c>
      <c r="B195" s="59" t="n">
        <v>30.725</v>
      </c>
      <c r="C195" s="59" t="n">
        <v>23.1541666666667</v>
      </c>
      <c r="D195" s="60" t="n">
        <v>30.795</v>
      </c>
      <c r="E195" s="60" t="n">
        <v>23.09625</v>
      </c>
      <c r="F195" s="60" t="n">
        <f aca="false">((G195*AD195)-(B195*AE195))*(1/AF195)</f>
        <v>23.1419736842105</v>
      </c>
      <c r="G195" s="54" t="n">
        <f aca="false">((Z195*16*E195)+(B195*W195*16)+(X195*8*C195))/(X195*24)</f>
        <v>27.5232777777778</v>
      </c>
      <c r="H195" s="54" t="n">
        <f aca="false">(F195*AF195+B195*AE195)/AD195</f>
        <v>27.5232777777778</v>
      </c>
      <c r="I195" s="54" t="n">
        <f aca="false">B195*$C$5+F195*$C$6</f>
        <v>27.3884684210526</v>
      </c>
      <c r="K195" s="88"/>
      <c r="M195" s="89"/>
      <c r="N195" s="90"/>
      <c r="V195" s="56" t="n">
        <f aca="false">Z195+AC195</f>
        <v>4</v>
      </c>
      <c r="W195" s="56" t="n">
        <f aca="false">X195-V195</f>
        <v>26</v>
      </c>
      <c r="X195" s="85" t="n">
        <f aca="false">X183</f>
        <v>30</v>
      </c>
      <c r="Y195" s="85"/>
      <c r="Z195" s="77" t="n">
        <v>4</v>
      </c>
      <c r="AA195" s="85" t="n">
        <f aca="false">AA183</f>
        <v>9</v>
      </c>
      <c r="AB195" s="85" t="n">
        <f aca="false">AB183</f>
        <v>21</v>
      </c>
      <c r="AD195" s="0" t="n">
        <f aca="false">X195*24</f>
        <v>720</v>
      </c>
      <c r="AE195" s="0" t="n">
        <f aca="false">W195*16</f>
        <v>416</v>
      </c>
      <c r="AF195" s="0" t="n">
        <f aca="false">V195*24+W195*8</f>
        <v>304</v>
      </c>
      <c r="AH195" s="0" t="n">
        <f aca="false">X195*24</f>
        <v>720</v>
      </c>
      <c r="AI195" s="0" t="n">
        <f aca="false">AB195*16</f>
        <v>336</v>
      </c>
      <c r="AJ195" s="0" t="n">
        <f aca="false">AB195*13</f>
        <v>273</v>
      </c>
      <c r="AK195" s="0" t="n">
        <f aca="false">AB195*14</f>
        <v>294</v>
      </c>
      <c r="AL195" s="0" t="n">
        <f aca="false">AB195*8</f>
        <v>168</v>
      </c>
      <c r="AM195" s="0" t="n">
        <f aca="false">AA195*24</f>
        <v>216</v>
      </c>
      <c r="AO195" s="68" t="n">
        <f aca="false">AI195/AH195</f>
        <v>0.466666666666667</v>
      </c>
      <c r="AP195" s="68" t="n">
        <f aca="false">AL195/AH195</f>
        <v>0.233333333333333</v>
      </c>
      <c r="AQ195" s="68" t="n">
        <f aca="false">1-(AO195+AP195)</f>
        <v>0.3</v>
      </c>
      <c r="AR195" s="48" t="n">
        <f aca="false">AQ195+AP195</f>
        <v>0.533333333333333</v>
      </c>
    </row>
    <row r="196" customFormat="false" ht="12.75" hidden="false" customHeight="false" outlineLevel="0" collapsed="false">
      <c r="A196" s="52" t="n">
        <v>42125</v>
      </c>
      <c r="B196" s="59" t="n">
        <v>29.475</v>
      </c>
      <c r="C196" s="59" t="n">
        <v>12.541935483871</v>
      </c>
      <c r="D196" s="60" t="n">
        <v>28.895</v>
      </c>
      <c r="E196" s="60" t="n">
        <v>21.67125</v>
      </c>
      <c r="F196" s="60" t="n">
        <f aca="false">((G196*AD196)-(B196*AE196))*(1/AF196)</f>
        <v>14.0816860465116</v>
      </c>
      <c r="G196" s="54" t="n">
        <f aca="false">((Z196*16*E196)+(B196*W196*16)+(X196*8*C196))/(X196*24)</f>
        <v>22.3576612903226</v>
      </c>
      <c r="H196" s="54" t="n">
        <f aca="false">(F196*AF196+B196*AE196)/AD196</f>
        <v>22.3576612903226</v>
      </c>
      <c r="I196" s="54" t="n">
        <f aca="false">B196*$C$5+F196*$C$6</f>
        <v>22.7019418604651</v>
      </c>
      <c r="K196" s="88"/>
      <c r="M196" s="89"/>
      <c r="N196" s="90"/>
      <c r="V196" s="56" t="n">
        <f aca="false">Z196+AC196</f>
        <v>6</v>
      </c>
      <c r="W196" s="56" t="n">
        <f aca="false">X196-V196</f>
        <v>25</v>
      </c>
      <c r="X196" s="85" t="n">
        <f aca="false">X184</f>
        <v>31</v>
      </c>
      <c r="Y196" s="85"/>
      <c r="Z196" s="77" t="n">
        <v>5</v>
      </c>
      <c r="AA196" s="85" t="n">
        <f aca="false">AA184</f>
        <v>9</v>
      </c>
      <c r="AB196" s="85" t="n">
        <f aca="false">AB184</f>
        <v>22</v>
      </c>
      <c r="AC196" s="0" t="n">
        <v>1</v>
      </c>
      <c r="AD196" s="0" t="n">
        <f aca="false">X196*24</f>
        <v>744</v>
      </c>
      <c r="AE196" s="0" t="n">
        <f aca="false">W196*16</f>
        <v>400</v>
      </c>
      <c r="AF196" s="0" t="n">
        <f aca="false">V196*24+W196*8</f>
        <v>344</v>
      </c>
      <c r="AH196" s="0" t="n">
        <f aca="false">X196*24</f>
        <v>744</v>
      </c>
      <c r="AI196" s="0" t="n">
        <f aca="false">AB196*16</f>
        <v>352</v>
      </c>
      <c r="AJ196" s="0" t="n">
        <f aca="false">AB196*13</f>
        <v>286</v>
      </c>
      <c r="AK196" s="0" t="n">
        <f aca="false">AB196*14</f>
        <v>308</v>
      </c>
      <c r="AL196" s="0" t="n">
        <f aca="false">AB196*8</f>
        <v>176</v>
      </c>
      <c r="AM196" s="0" t="n">
        <f aca="false">AA196*24</f>
        <v>216</v>
      </c>
      <c r="AO196" s="68" t="n">
        <f aca="false">AI196/AH196</f>
        <v>0.473118279569893</v>
      </c>
      <c r="AP196" s="68" t="n">
        <f aca="false">AL196/AH196</f>
        <v>0.236559139784946</v>
      </c>
      <c r="AQ196" s="68" t="n">
        <f aca="false">1-(AO196+AP196)</f>
        <v>0.290322580645161</v>
      </c>
      <c r="AR196" s="48" t="n">
        <f aca="false">AQ196+AP196</f>
        <v>0.526881720430108</v>
      </c>
    </row>
    <row r="197" customFormat="false" ht="12.75" hidden="false" customHeight="false" outlineLevel="0" collapsed="false">
      <c r="A197" s="52" t="n">
        <v>42156</v>
      </c>
      <c r="B197" s="59" t="n">
        <v>29.725</v>
      </c>
      <c r="C197" s="59" t="n">
        <v>12.5666666666667</v>
      </c>
      <c r="D197" s="60" t="n">
        <v>29.795</v>
      </c>
      <c r="E197" s="60" t="n">
        <v>22.34625</v>
      </c>
      <c r="F197" s="60" t="n">
        <f aca="false">((G197*AD197)-(B197*AE197))*(1/AF197)</f>
        <v>14.6255263157895</v>
      </c>
      <c r="G197" s="54" t="n">
        <f aca="false">((Z197*16*E197)+(B197*W197*16)+(X197*8*C197))/(X197*24)</f>
        <v>23.3496666666667</v>
      </c>
      <c r="H197" s="54" t="n">
        <f aca="false">(F197*AF197+B197*AE197)/AD197</f>
        <v>23.3496666666667</v>
      </c>
      <c r="I197" s="54" t="n">
        <f aca="false">B197*$C$5+F197*$C$6</f>
        <v>23.0812315789474</v>
      </c>
      <c r="K197" s="91"/>
      <c r="M197" s="89"/>
      <c r="N197" s="90"/>
      <c r="V197" s="56" t="n">
        <f aca="false">Z197+AC197</f>
        <v>4</v>
      </c>
      <c r="W197" s="56" t="n">
        <f aca="false">X197-V197</f>
        <v>26</v>
      </c>
      <c r="X197" s="85" t="n">
        <f aca="false">X185</f>
        <v>30</v>
      </c>
      <c r="Y197" s="85"/>
      <c r="Z197" s="77" t="n">
        <v>4</v>
      </c>
      <c r="AA197" s="85" t="n">
        <f aca="false">AA185</f>
        <v>8</v>
      </c>
      <c r="AB197" s="85" t="n">
        <f aca="false">AB185</f>
        <v>22</v>
      </c>
      <c r="AD197" s="0" t="n">
        <f aca="false">X197*24</f>
        <v>720</v>
      </c>
      <c r="AE197" s="0" t="n">
        <f aca="false">W197*16</f>
        <v>416</v>
      </c>
      <c r="AF197" s="0" t="n">
        <f aca="false">V197*24+W197*8</f>
        <v>304</v>
      </c>
      <c r="AH197" s="0" t="n">
        <f aca="false">X197*24</f>
        <v>720</v>
      </c>
      <c r="AI197" s="0" t="n">
        <f aca="false">AB197*16</f>
        <v>352</v>
      </c>
      <c r="AJ197" s="0" t="n">
        <f aca="false">AB197*13</f>
        <v>286</v>
      </c>
      <c r="AK197" s="0" t="n">
        <f aca="false">AB197*14</f>
        <v>308</v>
      </c>
      <c r="AL197" s="0" t="n">
        <f aca="false">AB197*8</f>
        <v>176</v>
      </c>
      <c r="AM197" s="0" t="n">
        <f aca="false">AA197*24</f>
        <v>192</v>
      </c>
      <c r="AO197" s="68" t="n">
        <f aca="false">AI197/AH197</f>
        <v>0.488888888888889</v>
      </c>
      <c r="AP197" s="68" t="n">
        <f aca="false">AL197/AH197</f>
        <v>0.244444444444444</v>
      </c>
      <c r="AQ197" s="68" t="n">
        <f aca="false">1-(AO197+AP197)</f>
        <v>0.266666666666667</v>
      </c>
      <c r="AR197" s="48" t="n">
        <f aca="false">AQ197+AP197</f>
        <v>0.511111111111111</v>
      </c>
    </row>
    <row r="198" customFormat="false" ht="12.75" hidden="false" customHeight="false" outlineLevel="0" collapsed="false">
      <c r="A198" s="52" t="n">
        <v>42186</v>
      </c>
      <c r="B198" s="59" t="n">
        <v>49.6</v>
      </c>
      <c r="C198" s="59" t="n">
        <v>26.1951612903226</v>
      </c>
      <c r="D198" s="60" t="n">
        <v>49.42</v>
      </c>
      <c r="E198" s="60" t="n">
        <v>37.44</v>
      </c>
      <c r="F198" s="60" t="n">
        <f aca="false">((G198*AD198)-(B198*AE198))*(1/AF198)</f>
        <v>27.1114634146341</v>
      </c>
      <c r="G198" s="54" t="n">
        <f aca="false">((Z198*16*E198)+(B198*W198*16)+(X198*8*C198))/(X198*24)</f>
        <v>39.6856989247312</v>
      </c>
      <c r="H198" s="54" t="n">
        <f aca="false">(F198*AF198+B198*AE198)/AD198</f>
        <v>39.6856989247312</v>
      </c>
      <c r="I198" s="54" t="n">
        <f aca="false">B198*$C$5+F198*$C$6</f>
        <v>39.705043902439</v>
      </c>
      <c r="K198" s="91"/>
      <c r="M198" s="89"/>
      <c r="N198" s="90"/>
      <c r="V198" s="56" t="n">
        <f aca="false">Z198+AC198</f>
        <v>5</v>
      </c>
      <c r="W198" s="56" t="n">
        <f aca="false">X198-V198</f>
        <v>26</v>
      </c>
      <c r="X198" s="85" t="n">
        <f aca="false">X186</f>
        <v>31</v>
      </c>
      <c r="Y198" s="85"/>
      <c r="Z198" s="77" t="n">
        <v>4</v>
      </c>
      <c r="AA198" s="85" t="n">
        <f aca="false">AA186</f>
        <v>10</v>
      </c>
      <c r="AB198" s="85" t="n">
        <f aca="false">AB186</f>
        <v>21</v>
      </c>
      <c r="AC198" s="0" t="n">
        <v>1</v>
      </c>
      <c r="AD198" s="0" t="n">
        <f aca="false">X198*24</f>
        <v>744</v>
      </c>
      <c r="AE198" s="0" t="n">
        <f aca="false">W198*16</f>
        <v>416</v>
      </c>
      <c r="AF198" s="0" t="n">
        <f aca="false">V198*24+W198*8</f>
        <v>328</v>
      </c>
      <c r="AH198" s="0" t="n">
        <f aca="false">X198*24</f>
        <v>744</v>
      </c>
      <c r="AI198" s="0" t="n">
        <f aca="false">AB198*16</f>
        <v>336</v>
      </c>
      <c r="AJ198" s="0" t="n">
        <f aca="false">AB198*13</f>
        <v>273</v>
      </c>
      <c r="AK198" s="0" t="n">
        <f aca="false">AB198*14</f>
        <v>294</v>
      </c>
      <c r="AL198" s="0" t="n">
        <f aca="false">AB198*8</f>
        <v>168</v>
      </c>
      <c r="AM198" s="0" t="n">
        <f aca="false">AA198*24</f>
        <v>240</v>
      </c>
      <c r="AO198" s="68" t="n">
        <f aca="false">AI198/AH198</f>
        <v>0.451612903225806</v>
      </c>
      <c r="AP198" s="68" t="n">
        <f aca="false">AL198/AH198</f>
        <v>0.225806451612903</v>
      </c>
      <c r="AQ198" s="68" t="n">
        <f aca="false">1-(AO198+AP198)</f>
        <v>0.32258064516129</v>
      </c>
      <c r="AR198" s="48" t="n">
        <f aca="false">AQ198+AP198</f>
        <v>0.548387096774194</v>
      </c>
    </row>
    <row r="199" customFormat="false" ht="12.75" hidden="false" customHeight="false" outlineLevel="0" collapsed="false">
      <c r="A199" s="52" t="n">
        <v>42217</v>
      </c>
      <c r="B199" s="59" t="n">
        <v>67.1</v>
      </c>
      <c r="C199" s="59" t="n">
        <v>28.1629032258065</v>
      </c>
      <c r="D199" s="60" t="n">
        <v>68.17</v>
      </c>
      <c r="E199" s="60" t="n">
        <v>51.315</v>
      </c>
      <c r="F199" s="60" t="n">
        <f aca="false">((G199*AD199)-(B199*AE199))*(1/AF199)</f>
        <v>33.809756097561</v>
      </c>
      <c r="G199" s="54" t="n">
        <f aca="false">((Z199*16*E199)+(B199*W199*16)+(X199*8*C199))/(X199*24)</f>
        <v>52.4236559139785</v>
      </c>
      <c r="H199" s="54" t="n">
        <f aca="false">(F199*AF199+B199*AE199)/AD199</f>
        <v>52.4236559139785</v>
      </c>
      <c r="I199" s="54" t="n">
        <f aca="false">B199*$C$5+F199*$C$6</f>
        <v>52.4522926829268</v>
      </c>
      <c r="K199" s="91"/>
      <c r="M199" s="89"/>
      <c r="N199" s="90"/>
      <c r="V199" s="56" t="n">
        <f aca="false">Z199+AC199</f>
        <v>5</v>
      </c>
      <c r="W199" s="56" t="n">
        <f aca="false">X199-V199</f>
        <v>26</v>
      </c>
      <c r="X199" s="85" t="n">
        <f aca="false">X187</f>
        <v>31</v>
      </c>
      <c r="Y199" s="85"/>
      <c r="Z199" s="77" t="n">
        <v>5</v>
      </c>
      <c r="AA199" s="85" t="n">
        <f aca="false">AA187</f>
        <v>8</v>
      </c>
      <c r="AB199" s="85" t="n">
        <f aca="false">AB187</f>
        <v>23</v>
      </c>
      <c r="AD199" s="0" t="n">
        <f aca="false">X199*24</f>
        <v>744</v>
      </c>
      <c r="AE199" s="0" t="n">
        <f aca="false">W199*16</f>
        <v>416</v>
      </c>
      <c r="AF199" s="0" t="n">
        <f aca="false">V199*24+W199*8</f>
        <v>328</v>
      </c>
      <c r="AH199" s="0" t="n">
        <f aca="false">X199*24</f>
        <v>744</v>
      </c>
      <c r="AI199" s="0" t="n">
        <f aca="false">AB199*16</f>
        <v>368</v>
      </c>
      <c r="AJ199" s="0" t="n">
        <f aca="false">AB199*13</f>
        <v>299</v>
      </c>
      <c r="AK199" s="0" t="n">
        <f aca="false">AB199*14</f>
        <v>322</v>
      </c>
      <c r="AL199" s="0" t="n">
        <f aca="false">AB199*8</f>
        <v>184</v>
      </c>
      <c r="AM199" s="0" t="n">
        <f aca="false">AA199*24</f>
        <v>192</v>
      </c>
      <c r="AO199" s="68" t="n">
        <f aca="false">AI199/AH199</f>
        <v>0.494623655913979</v>
      </c>
      <c r="AP199" s="68" t="n">
        <f aca="false">AL199/AH199</f>
        <v>0.247311827956989</v>
      </c>
      <c r="AQ199" s="68" t="n">
        <f aca="false">1-(AO199+AP199)</f>
        <v>0.258064516129032</v>
      </c>
      <c r="AR199" s="48" t="n">
        <f aca="false">AQ199+AP199</f>
        <v>0.505376344086022</v>
      </c>
    </row>
    <row r="200" customFormat="false" ht="12.75" hidden="false" customHeight="false" outlineLevel="0" collapsed="false">
      <c r="A200" s="52" t="n">
        <v>42248</v>
      </c>
      <c r="B200" s="59" t="n">
        <v>64.475</v>
      </c>
      <c r="C200" s="59" t="n">
        <v>26.35</v>
      </c>
      <c r="D200" s="60" t="n">
        <v>63.295</v>
      </c>
      <c r="E200" s="60" t="n">
        <v>47.65875</v>
      </c>
      <c r="F200" s="60" t="n">
        <f aca="false">((G200*AD200)-(B200*AE200))*(1/AF200)</f>
        <v>29.29425</v>
      </c>
      <c r="G200" s="54" t="n">
        <f aca="false">((Z200*16*E200)+(B200*W200*16)+(X200*8*C200))/(X200*24)</f>
        <v>48.8391111111111</v>
      </c>
      <c r="H200" s="54" t="n">
        <f aca="false">(F200*AF200+B200*AE200)/AD200</f>
        <v>48.8391111111111</v>
      </c>
      <c r="I200" s="54" t="n">
        <f aca="false">B200*$C$5+F200*$C$6</f>
        <v>48.99547</v>
      </c>
      <c r="K200" s="91"/>
      <c r="M200" s="89"/>
      <c r="N200" s="90"/>
      <c r="V200" s="56" t="n">
        <f aca="false">Z200+AC200</f>
        <v>5</v>
      </c>
      <c r="W200" s="56" t="n">
        <f aca="false">X200-V200</f>
        <v>25</v>
      </c>
      <c r="X200" s="85" t="n">
        <f aca="false">X188</f>
        <v>30</v>
      </c>
      <c r="Y200" s="85"/>
      <c r="Z200" s="77" t="n">
        <v>4</v>
      </c>
      <c r="AA200" s="85" t="n">
        <f aca="false">AA188</f>
        <v>8</v>
      </c>
      <c r="AB200" s="85" t="n">
        <f aca="false">AB188</f>
        <v>22</v>
      </c>
      <c r="AC200" s="0" t="n">
        <v>1</v>
      </c>
      <c r="AD200" s="0" t="n">
        <f aca="false">X200*24</f>
        <v>720</v>
      </c>
      <c r="AE200" s="0" t="n">
        <f aca="false">W200*16</f>
        <v>400</v>
      </c>
      <c r="AF200" s="0" t="n">
        <f aca="false">V200*24+W200*8</f>
        <v>320</v>
      </c>
      <c r="AH200" s="0" t="n">
        <f aca="false">X200*24</f>
        <v>720</v>
      </c>
      <c r="AI200" s="0" t="n">
        <f aca="false">AB200*16</f>
        <v>352</v>
      </c>
      <c r="AJ200" s="0" t="n">
        <f aca="false">AB200*13</f>
        <v>286</v>
      </c>
      <c r="AK200" s="0" t="n">
        <f aca="false">AB200*14</f>
        <v>308</v>
      </c>
      <c r="AL200" s="0" t="n">
        <f aca="false">AB200*8</f>
        <v>176</v>
      </c>
      <c r="AM200" s="0" t="n">
        <f aca="false">AA200*24</f>
        <v>192</v>
      </c>
      <c r="AO200" s="68" t="n">
        <f aca="false">AI200/AH200</f>
        <v>0.488888888888889</v>
      </c>
      <c r="AP200" s="68" t="n">
        <f aca="false">AL200/AH200</f>
        <v>0.244444444444444</v>
      </c>
      <c r="AQ200" s="68" t="n">
        <f aca="false">1-(AO200+AP200)</f>
        <v>0.266666666666667</v>
      </c>
      <c r="AR200" s="48" t="n">
        <f aca="false">AQ200+AP200</f>
        <v>0.511111111111111</v>
      </c>
    </row>
    <row r="201" customFormat="false" ht="12.75" hidden="false" customHeight="false" outlineLevel="0" collapsed="false">
      <c r="A201" s="52" t="n">
        <v>42278</v>
      </c>
      <c r="B201" s="59" t="n">
        <v>40.975</v>
      </c>
      <c r="C201" s="59" t="n">
        <v>32.7838709677419</v>
      </c>
      <c r="D201" s="60" t="n">
        <v>41.545</v>
      </c>
      <c r="E201" s="60" t="n">
        <v>31.15875</v>
      </c>
      <c r="F201" s="60" t="n">
        <f aca="false">((G201*AD201)-(B201*AE201))*(1/AF201)</f>
        <v>32.4505128205128</v>
      </c>
      <c r="G201" s="54" t="n">
        <f aca="false">((Z201*16*E201)+(B201*W201*16)+(X201*8*C201))/(X201*24)</f>
        <v>37.4002150537634</v>
      </c>
      <c r="H201" s="54" t="n">
        <f aca="false">(F201*AF201+B201*AE201)/AD201</f>
        <v>37.4002150537634</v>
      </c>
      <c r="I201" s="54" t="n">
        <f aca="false">B201*$C$5+F201*$C$6</f>
        <v>37.2242256410256</v>
      </c>
      <c r="K201" s="91"/>
      <c r="M201" s="89"/>
      <c r="N201" s="90"/>
      <c r="V201" s="56" t="n">
        <f aca="false">Z201+AC201</f>
        <v>4</v>
      </c>
      <c r="W201" s="56" t="n">
        <f aca="false">X201-V201</f>
        <v>27</v>
      </c>
      <c r="X201" s="85" t="n">
        <f aca="false">X189</f>
        <v>31</v>
      </c>
      <c r="Y201" s="85"/>
      <c r="Z201" s="77" t="n">
        <v>4</v>
      </c>
      <c r="AA201" s="85" t="n">
        <f aca="false">AA189</f>
        <v>10</v>
      </c>
      <c r="AB201" s="85" t="n">
        <f aca="false">AB189</f>
        <v>21</v>
      </c>
      <c r="AD201" s="0" t="n">
        <f aca="false">X201*24</f>
        <v>744</v>
      </c>
      <c r="AE201" s="0" t="n">
        <f aca="false">W201*16</f>
        <v>432</v>
      </c>
      <c r="AF201" s="0" t="n">
        <f aca="false">V201*24+W201*8</f>
        <v>312</v>
      </c>
      <c r="AH201" s="0" t="n">
        <f aca="false">X201*24</f>
        <v>744</v>
      </c>
      <c r="AI201" s="0" t="n">
        <f aca="false">AB201*16</f>
        <v>336</v>
      </c>
      <c r="AJ201" s="0" t="n">
        <f aca="false">AB201*13</f>
        <v>273</v>
      </c>
      <c r="AK201" s="0" t="n">
        <f aca="false">AB201*14</f>
        <v>294</v>
      </c>
      <c r="AL201" s="0" t="n">
        <f aca="false">AB201*8</f>
        <v>168</v>
      </c>
      <c r="AM201" s="0" t="n">
        <f aca="false">AA201*24</f>
        <v>240</v>
      </c>
      <c r="AO201" s="68" t="n">
        <f aca="false">AI201/AH201</f>
        <v>0.451612903225806</v>
      </c>
      <c r="AP201" s="68" t="n">
        <f aca="false">AL201/AH201</f>
        <v>0.225806451612903</v>
      </c>
      <c r="AQ201" s="68" t="n">
        <f aca="false">1-(AO201+AP201)</f>
        <v>0.32258064516129</v>
      </c>
      <c r="AR201" s="48" t="n">
        <f aca="false">AQ201+AP201</f>
        <v>0.548387096774194</v>
      </c>
    </row>
    <row r="202" customFormat="false" ht="12.75" hidden="false" customHeight="false" outlineLevel="0" collapsed="false">
      <c r="A202" s="52" t="n">
        <v>42309</v>
      </c>
      <c r="B202" s="59" t="n">
        <v>39.975</v>
      </c>
      <c r="C202" s="59" t="n">
        <v>30.8416666666667</v>
      </c>
      <c r="D202" s="60" t="n">
        <v>40.295</v>
      </c>
      <c r="E202" s="60" t="n">
        <v>30.22125</v>
      </c>
      <c r="F202" s="60" t="n">
        <f aca="false">((G202*AD202)-(B202*AE202))*(1/AF202)</f>
        <v>29.2252976190476</v>
      </c>
      <c r="G202" s="54" t="n">
        <f aca="false">((Z202*16*E202)+(B202*W202*16)+(X202*8*C202))/(X202*24)</f>
        <v>34.9584722222222</v>
      </c>
      <c r="H202" s="54" t="n">
        <f aca="false">(F202*AF202+B202*AE202)/AD202</f>
        <v>34.9584722222222</v>
      </c>
      <c r="I202" s="54" t="n">
        <f aca="false">B202*$C$5+F202*$C$6</f>
        <v>35.245130952381</v>
      </c>
      <c r="K202" s="91"/>
      <c r="M202" s="89"/>
      <c r="N202" s="90"/>
      <c r="V202" s="56" t="n">
        <f aca="false">Z202+AC202</f>
        <v>6</v>
      </c>
      <c r="W202" s="56" t="n">
        <f aca="false">X202-V202</f>
        <v>24</v>
      </c>
      <c r="X202" s="85" t="n">
        <f aca="false">X190</f>
        <v>30</v>
      </c>
      <c r="Y202" s="85"/>
      <c r="Z202" s="77" t="n">
        <v>5</v>
      </c>
      <c r="AA202" s="85" t="n">
        <f aca="false">AA190</f>
        <v>8</v>
      </c>
      <c r="AB202" s="85" t="n">
        <f aca="false">AB190</f>
        <v>22</v>
      </c>
      <c r="AC202" s="0" t="n">
        <v>1</v>
      </c>
      <c r="AD202" s="0" t="n">
        <f aca="false">X202*24</f>
        <v>720</v>
      </c>
      <c r="AE202" s="0" t="n">
        <f aca="false">W202*16</f>
        <v>384</v>
      </c>
      <c r="AF202" s="0" t="n">
        <f aca="false">V202*24+W202*8</f>
        <v>336</v>
      </c>
      <c r="AH202" s="0" t="n">
        <f aca="false">X202*24</f>
        <v>720</v>
      </c>
      <c r="AI202" s="0" t="n">
        <f aca="false">AB202*16</f>
        <v>352</v>
      </c>
      <c r="AJ202" s="0" t="n">
        <f aca="false">AB202*13</f>
        <v>286</v>
      </c>
      <c r="AK202" s="0" t="n">
        <f aca="false">AB202*14</f>
        <v>308</v>
      </c>
      <c r="AL202" s="0" t="n">
        <f aca="false">AB202*8</f>
        <v>176</v>
      </c>
      <c r="AM202" s="0" t="n">
        <f aca="false">AA202*24</f>
        <v>192</v>
      </c>
      <c r="AO202" s="68" t="n">
        <f aca="false">AI202/AH202</f>
        <v>0.488888888888889</v>
      </c>
      <c r="AP202" s="68" t="n">
        <f aca="false">AL202/AH202</f>
        <v>0.244444444444444</v>
      </c>
      <c r="AQ202" s="68" t="n">
        <f aca="false">1-(AO202+AP202)</f>
        <v>0.266666666666667</v>
      </c>
      <c r="AR202" s="48" t="n">
        <f aca="false">AQ202+AP202</f>
        <v>0.511111111111111</v>
      </c>
    </row>
    <row r="203" customFormat="false" ht="12.75" hidden="false" customHeight="false" outlineLevel="0" collapsed="false">
      <c r="A203" s="52" t="n">
        <v>42339</v>
      </c>
      <c r="B203" s="59" t="n">
        <v>40.225</v>
      </c>
      <c r="C203" s="59" t="n">
        <v>30.8161290322581</v>
      </c>
      <c r="D203" s="60" t="n">
        <v>40.545</v>
      </c>
      <c r="E203" s="60" t="n">
        <v>30.40875</v>
      </c>
      <c r="F203" s="60" t="n">
        <f aca="false">((G203*AD203)-(B203*AE203))*(1/AF203)</f>
        <v>29.2334146341463</v>
      </c>
      <c r="G203" s="54" t="n">
        <f aca="false">((Z203*16*E203)+(B203*W203*16)+(X203*8*C203))/(X203*24)</f>
        <v>35.379247311828</v>
      </c>
      <c r="H203" s="54" t="n">
        <f aca="false">(F203*AF203+B203*AE203)/AD203</f>
        <v>35.379247311828</v>
      </c>
      <c r="I203" s="54" t="n">
        <f aca="false">B203*$C$5+F203*$C$6</f>
        <v>35.3887024390244</v>
      </c>
      <c r="K203" s="91"/>
      <c r="M203" s="89"/>
      <c r="N203" s="90"/>
      <c r="V203" s="56" t="n">
        <f aca="false">Z203+AC203</f>
        <v>5</v>
      </c>
      <c r="W203" s="56" t="n">
        <f aca="false">X203-V203</f>
        <v>26</v>
      </c>
      <c r="X203" s="85" t="n">
        <f aca="false">X191</f>
        <v>31</v>
      </c>
      <c r="Y203" s="85"/>
      <c r="Z203" s="77" t="n">
        <v>4</v>
      </c>
      <c r="AA203" s="85" t="n">
        <f aca="false">AA191</f>
        <v>9</v>
      </c>
      <c r="AB203" s="85" t="n">
        <f aca="false">AB191</f>
        <v>22</v>
      </c>
      <c r="AC203" s="0" t="n">
        <v>1</v>
      </c>
      <c r="AD203" s="0" t="n">
        <f aca="false">X203*24</f>
        <v>744</v>
      </c>
      <c r="AE203" s="0" t="n">
        <f aca="false">W203*16</f>
        <v>416</v>
      </c>
      <c r="AF203" s="0" t="n">
        <f aca="false">V203*24+W203*8</f>
        <v>328</v>
      </c>
      <c r="AH203" s="0" t="n">
        <f aca="false">X203*24</f>
        <v>744</v>
      </c>
      <c r="AI203" s="0" t="n">
        <f aca="false">AB203*16</f>
        <v>352</v>
      </c>
      <c r="AJ203" s="0" t="n">
        <f aca="false">AB203*13</f>
        <v>286</v>
      </c>
      <c r="AK203" s="0" t="n">
        <f aca="false">AB203*14</f>
        <v>308</v>
      </c>
      <c r="AL203" s="0" t="n">
        <f aca="false">AB203*8</f>
        <v>176</v>
      </c>
      <c r="AM203" s="0" t="n">
        <f aca="false">AA203*24</f>
        <v>216</v>
      </c>
      <c r="AO203" s="68" t="n">
        <f aca="false">AI203/AH203</f>
        <v>0.473118279569893</v>
      </c>
      <c r="AP203" s="68" t="n">
        <f aca="false">AL203/AH203</f>
        <v>0.236559139784946</v>
      </c>
      <c r="AQ203" s="68" t="n">
        <f aca="false">1-(AO203+AP203)</f>
        <v>0.290322580645161</v>
      </c>
      <c r="AR203" s="48" t="n">
        <f aca="false">AQ203+AP203</f>
        <v>0.526881720430108</v>
      </c>
    </row>
    <row r="204" customFormat="false" ht="12.75" hidden="false" customHeight="false" outlineLevel="0" collapsed="false">
      <c r="B204" s="59" t="n">
        <v>36.25</v>
      </c>
      <c r="C204" s="59" t="n">
        <v>29.0241935483871</v>
      </c>
      <c r="D204" s="59"/>
      <c r="E204" s="60" t="n">
        <v>27.3</v>
      </c>
      <c r="F204" s="60" t="e">
        <f aca="false">((G204*AD204)-(B204*AE204))*(1/AF204)</f>
        <v>#DIV/0!</v>
      </c>
      <c r="G204" s="54" t="e">
        <f aca="false">((Z204*16*E204)+(B204*W204*16)+(X204*8*C204))/(X204*24)</f>
        <v>#DIV/0!</v>
      </c>
      <c r="H204" s="54" t="e">
        <f aca="false">(F204*AF204+B204*AE204)/AD204</f>
        <v>#DIV/0!</v>
      </c>
      <c r="I204" s="54" t="e">
        <f aca="false">B204*$C$5+F204*$C$6</f>
        <v>#DIV/0!</v>
      </c>
      <c r="K204" s="91"/>
      <c r="M204" s="89"/>
      <c r="N204" s="90"/>
    </row>
    <row r="205" customFormat="false" ht="12.75" hidden="false" customHeight="false" outlineLevel="0" collapsed="false">
      <c r="B205" s="59" t="n">
        <v>35.75</v>
      </c>
      <c r="C205" s="59" t="n">
        <v>27.1428571428571</v>
      </c>
      <c r="D205" s="59"/>
      <c r="E205" s="60" t="n">
        <v>26.55</v>
      </c>
      <c r="F205" s="60" t="e">
        <f aca="false">((G205*AD205)-(B205*AE205))*(1/AF205)</f>
        <v>#DIV/0!</v>
      </c>
      <c r="G205" s="54" t="e">
        <f aca="false">((Z205*16*E205)+(B205*W205*16)+(X205*8*C205))/(X205*24)</f>
        <v>#DIV/0!</v>
      </c>
      <c r="H205" s="54" t="e">
        <f aca="false">(F205*AF205+B205*AE205)/AD205</f>
        <v>#DIV/0!</v>
      </c>
      <c r="I205" s="54" t="e">
        <f aca="false">B205*$C$5+F205*$C$6</f>
        <v>#DIV/0!</v>
      </c>
      <c r="K205" s="91"/>
      <c r="M205" s="89"/>
      <c r="N205" s="90"/>
    </row>
    <row r="206" customFormat="false" ht="12.75" hidden="false" customHeight="false" outlineLevel="0" collapsed="false">
      <c r="B206" s="59" t="n">
        <v>33.2125</v>
      </c>
      <c r="C206" s="59" t="n">
        <v>26.1129032258065</v>
      </c>
      <c r="D206" s="59"/>
      <c r="E206" s="60" t="n">
        <v>25.006875</v>
      </c>
      <c r="F206" s="60" t="e">
        <f aca="false">((G206*AD206)-(B206*AE206))*(1/AF206)</f>
        <v>#DIV/0!</v>
      </c>
      <c r="G206" s="54" t="e">
        <f aca="false">((Z206*16*E206)+(B206*W206*16)+(X206*8*C206))/(X206*24)</f>
        <v>#DIV/0!</v>
      </c>
      <c r="H206" s="54" t="e">
        <f aca="false">(F206*AF206+B206*AE206)/AD206</f>
        <v>#DIV/0!</v>
      </c>
      <c r="I206" s="54" t="e">
        <f aca="false">B206*$C$5+F206*$C$6</f>
        <v>#DIV/0!</v>
      </c>
      <c r="K206" s="91"/>
      <c r="M206" s="89"/>
      <c r="N206" s="90"/>
    </row>
    <row r="207" customFormat="false" ht="12.75" hidden="false" customHeight="false" outlineLevel="0" collapsed="false">
      <c r="B207" s="59" t="n">
        <v>30.82</v>
      </c>
      <c r="C207" s="59" t="n">
        <v>23.2041666666667</v>
      </c>
      <c r="D207" s="59"/>
      <c r="E207" s="60" t="n">
        <v>23.1675</v>
      </c>
      <c r="F207" s="60" t="e">
        <f aca="false">((G207*AD207)-(B207*AE207))*(1/AF207)</f>
        <v>#DIV/0!</v>
      </c>
      <c r="G207" s="54" t="e">
        <f aca="false">((Z207*16*E207)+(B207*W207*16)+(X207*8*C207))/(X207*24)</f>
        <v>#DIV/0!</v>
      </c>
      <c r="H207" s="54" t="e">
        <f aca="false">(F207*AF207+B207*AE207)/AD207</f>
        <v>#DIV/0!</v>
      </c>
      <c r="I207" s="54" t="e">
        <f aca="false">B207*$C$5+F207*$C$6</f>
        <v>#DIV/0!</v>
      </c>
      <c r="K207" s="91"/>
      <c r="M207" s="89"/>
      <c r="N207" s="90"/>
    </row>
    <row r="208" customFormat="false" ht="12.75" hidden="false" customHeight="false" outlineLevel="0" collapsed="false">
      <c r="B208" s="59" t="n">
        <v>29.57</v>
      </c>
      <c r="C208" s="59" t="n">
        <v>12.591935483871</v>
      </c>
      <c r="D208" s="59"/>
      <c r="E208" s="60" t="n">
        <v>21.7425</v>
      </c>
      <c r="F208" s="60" t="e">
        <f aca="false">((G208*AD208)-(B208*AE208))*(1/AF208)</f>
        <v>#DIV/0!</v>
      </c>
      <c r="G208" s="54" t="e">
        <f aca="false">((Z208*16*E208)+(B208*W208*16)+(X208*8*C208))/(X208*24)</f>
        <v>#DIV/0!</v>
      </c>
      <c r="H208" s="54" t="e">
        <f aca="false">(F208*AF208+B208*AE208)/AD208</f>
        <v>#DIV/0!</v>
      </c>
      <c r="I208" s="54" t="e">
        <f aca="false">B208*$C$5+F208*$C$6</f>
        <v>#DIV/0!</v>
      </c>
      <c r="K208" s="91"/>
      <c r="M208" s="89"/>
      <c r="N208" s="90"/>
    </row>
    <row r="209" customFormat="false" ht="12.75" hidden="false" customHeight="false" outlineLevel="0" collapsed="false">
      <c r="B209" s="59" t="n">
        <v>29.82</v>
      </c>
      <c r="C209" s="59" t="n">
        <v>12.6166666666667</v>
      </c>
      <c r="D209" s="59"/>
      <c r="E209" s="60" t="n">
        <v>22.4175</v>
      </c>
      <c r="F209" s="60" t="e">
        <f aca="false">((G209*AD209)-(B209*AE209))*(1/AF209)</f>
        <v>#DIV/0!</v>
      </c>
      <c r="G209" s="54" t="e">
        <f aca="false">((Z209*16*E209)+(B209*W209*16)+(X209*8*C209))/(X209*24)</f>
        <v>#DIV/0!</v>
      </c>
      <c r="H209" s="54" t="e">
        <f aca="false">(F209*AF209+B209*AE209)/AD209</f>
        <v>#DIV/0!</v>
      </c>
      <c r="I209" s="54" t="e">
        <f aca="false">B209*$C$5+F209*$C$6</f>
        <v>#DIV/0!</v>
      </c>
      <c r="K209" s="91"/>
      <c r="M209" s="89"/>
      <c r="N209" s="90"/>
    </row>
    <row r="210" customFormat="false" ht="12.75" hidden="false" customHeight="false" outlineLevel="0" collapsed="false">
      <c r="B210" s="59" t="n">
        <v>49.82</v>
      </c>
      <c r="C210" s="59" t="n">
        <v>26.2451612903226</v>
      </c>
      <c r="D210" s="59"/>
      <c r="E210" s="60" t="n">
        <v>37.605</v>
      </c>
      <c r="F210" s="60" t="e">
        <f aca="false">((G210*AD210)-(B210*AE210))*(1/AF210)</f>
        <v>#DIV/0!</v>
      </c>
      <c r="G210" s="54" t="e">
        <f aca="false">((Z210*16*E210)+(B210*W210*16)+(X210*8*C210))/(X210*24)</f>
        <v>#DIV/0!</v>
      </c>
      <c r="H210" s="54" t="e">
        <f aca="false">(F210*AF210+B210*AE210)/AD210</f>
        <v>#DIV/0!</v>
      </c>
      <c r="I210" s="54" t="e">
        <f aca="false">B210*$C$5+F210*$C$6</f>
        <v>#DIV/0!</v>
      </c>
      <c r="K210" s="91"/>
      <c r="M210" s="89"/>
      <c r="N210" s="90"/>
    </row>
    <row r="211" customFormat="false" ht="12.75" hidden="false" customHeight="false" outlineLevel="0" collapsed="false">
      <c r="B211" s="59" t="n">
        <v>67.32</v>
      </c>
      <c r="C211" s="59" t="n">
        <v>28.2129032258065</v>
      </c>
      <c r="D211" s="59"/>
      <c r="E211" s="60" t="n">
        <v>51.48</v>
      </c>
      <c r="F211" s="60" t="e">
        <f aca="false">((G211*AD211)-(B211*AE211))*(1/AF211)</f>
        <v>#DIV/0!</v>
      </c>
      <c r="G211" s="54" t="e">
        <f aca="false">((Z211*16*E211)+(B211*W211*16)+(X211*8*C211))/(X211*24)</f>
        <v>#DIV/0!</v>
      </c>
      <c r="H211" s="54" t="e">
        <f aca="false">(F211*AF211+B211*AE211)/AD211</f>
        <v>#DIV/0!</v>
      </c>
      <c r="I211" s="54" t="e">
        <f aca="false">B211*$C$5+F211*$C$6</f>
        <v>#DIV/0!</v>
      </c>
      <c r="K211" s="91"/>
      <c r="M211" s="89"/>
      <c r="N211" s="90"/>
    </row>
    <row r="212" customFormat="false" ht="12.75" hidden="false" customHeight="false" outlineLevel="0" collapsed="false">
      <c r="B212" s="59" t="n">
        <v>64.57</v>
      </c>
      <c r="C212" s="59" t="n">
        <v>26.4</v>
      </c>
      <c r="D212" s="59"/>
      <c r="E212" s="60" t="n">
        <v>47.73</v>
      </c>
      <c r="F212" s="60" t="e">
        <f aca="false">((G212*AD212)-(B212*AE212))*(1/AF212)</f>
        <v>#DIV/0!</v>
      </c>
      <c r="G212" s="54" t="e">
        <f aca="false">((Z212*16*E212)+(B212*W212*16)+(X212*8*C212))/(X212*24)</f>
        <v>#DIV/0!</v>
      </c>
      <c r="H212" s="54" t="e">
        <f aca="false">(F212*AF212+B212*AE212)/AD212</f>
        <v>#DIV/0!</v>
      </c>
      <c r="I212" s="54" t="e">
        <f aca="false">B212*$C$5+F212*$C$6</f>
        <v>#DIV/0!</v>
      </c>
      <c r="K212" s="91"/>
      <c r="M212" s="89"/>
      <c r="N212" s="90"/>
    </row>
    <row r="213" customFormat="false" ht="12.75" hidden="false" customHeight="false" outlineLevel="0" collapsed="false">
      <c r="B213" s="59" t="n">
        <v>41.07</v>
      </c>
      <c r="C213" s="59" t="n">
        <v>32.8338709677419</v>
      </c>
      <c r="D213" s="59"/>
      <c r="E213" s="60" t="n">
        <v>31.23</v>
      </c>
      <c r="F213" s="60" t="e">
        <f aca="false">((G213*AD213)-(B213*AE213))*(1/AF213)</f>
        <v>#DIV/0!</v>
      </c>
      <c r="G213" s="54" t="e">
        <f aca="false">((Z213*16*E213)+(B213*W213*16)+(X213*8*C213))/(X213*24)</f>
        <v>#DIV/0!</v>
      </c>
      <c r="H213" s="54" t="e">
        <f aca="false">(F213*AF213+B213*AE213)/AD213</f>
        <v>#DIV/0!</v>
      </c>
      <c r="I213" s="54" t="e">
        <f aca="false">B213*$C$5+F213*$C$6</f>
        <v>#DIV/0!</v>
      </c>
      <c r="K213" s="91"/>
      <c r="M213" s="89"/>
      <c r="N213" s="90"/>
    </row>
    <row r="214" customFormat="false" ht="12.75" hidden="false" customHeight="false" outlineLevel="0" collapsed="false">
      <c r="B214" s="59" t="n">
        <v>40.07</v>
      </c>
      <c r="C214" s="59" t="n">
        <v>30.8916666666667</v>
      </c>
      <c r="D214" s="59"/>
      <c r="E214" s="60" t="n">
        <v>30.2925</v>
      </c>
      <c r="F214" s="60" t="e">
        <f aca="false">((G214*AD214)-(B214*AE214))*(1/AF214)</f>
        <v>#DIV/0!</v>
      </c>
      <c r="G214" s="54" t="e">
        <f aca="false">((Z214*16*E214)+(B214*W214*16)+(X214*8*C214))/(X214*24)</f>
        <v>#DIV/0!</v>
      </c>
      <c r="H214" s="54" t="e">
        <f aca="false">(F214*AF214+B214*AE214)/AD214</f>
        <v>#DIV/0!</v>
      </c>
      <c r="I214" s="54" t="e">
        <f aca="false">B214*$C$5+F214*$C$6</f>
        <v>#DIV/0!</v>
      </c>
      <c r="K214" s="91"/>
      <c r="M214" s="89"/>
      <c r="N214" s="90"/>
    </row>
    <row r="215" customFormat="false" ht="12.75" hidden="false" customHeight="false" outlineLevel="0" collapsed="false">
      <c r="B215" s="59" t="n">
        <v>40.32</v>
      </c>
      <c r="C215" s="59" t="n">
        <v>30.8661290322581</v>
      </c>
      <c r="D215" s="59"/>
      <c r="E215" s="60" t="n">
        <v>30.48</v>
      </c>
      <c r="F215" s="60" t="e">
        <f aca="false">((G215*AD215)-(B215*AE215))*(1/AF215)</f>
        <v>#DIV/0!</v>
      </c>
      <c r="G215" s="54" t="e">
        <f aca="false">((Z215*16*E215)+(B215*W215*16)+(X215*8*C215))/(X215*24)</f>
        <v>#DIV/0!</v>
      </c>
      <c r="H215" s="54" t="e">
        <f aca="false">(F215*AF215+B215*AE215)/AD215</f>
        <v>#DIV/0!</v>
      </c>
      <c r="I215" s="54" t="e">
        <f aca="false">B215*$C$5+F215*$C$6</f>
        <v>#DIV/0!</v>
      </c>
      <c r="K215" s="91"/>
      <c r="M215" s="89"/>
      <c r="N215" s="90"/>
    </row>
    <row r="216" customFormat="false" ht="12.75" hidden="false" customHeight="false" outlineLevel="0" collapsed="false">
      <c r="B216" s="59" t="n">
        <v>36.35</v>
      </c>
      <c r="C216" s="59" t="n">
        <v>29.0741935483871</v>
      </c>
      <c r="D216" s="59"/>
      <c r="E216" s="60" t="n">
        <v>27.375</v>
      </c>
      <c r="F216" s="60" t="e">
        <f aca="false">((G216*AD216)-(B216*AE216))*(1/AF216)</f>
        <v>#DIV/0!</v>
      </c>
      <c r="G216" s="54" t="e">
        <f aca="false">((Z216*16*E216)+(B216*W216*16)+(X216*8*C216))/(X216*24)</f>
        <v>#DIV/0!</v>
      </c>
      <c r="H216" s="54" t="e">
        <f aca="false">(F216*AF216+B216*AE216)/AD216</f>
        <v>#DIV/0!</v>
      </c>
      <c r="I216" s="54" t="e">
        <f aca="false">B216*$C$5+F216*$C$6</f>
        <v>#DIV/0!</v>
      </c>
      <c r="K216" s="91"/>
      <c r="M216" s="89"/>
      <c r="N216" s="90"/>
    </row>
    <row r="217" customFormat="false" ht="12.75" hidden="false" customHeight="false" outlineLevel="0" collapsed="false">
      <c r="B217" s="59" t="n">
        <v>35.85</v>
      </c>
      <c r="C217" s="59" t="n">
        <v>27.1928571428571</v>
      </c>
      <c r="D217" s="59"/>
      <c r="E217" s="60" t="n">
        <v>26.625</v>
      </c>
      <c r="F217" s="60" t="e">
        <f aca="false">((G217*AD217)-(B217*AE217))*(1/AF217)</f>
        <v>#DIV/0!</v>
      </c>
      <c r="G217" s="54" t="e">
        <f aca="false">((Z217*16*E217)+(B217*W217*16)+(X217*8*C217))/(X217*24)</f>
        <v>#DIV/0!</v>
      </c>
      <c r="H217" s="54" t="e">
        <f aca="false">(F217*AF217+B217*AE217)/AD217</f>
        <v>#DIV/0!</v>
      </c>
      <c r="I217" s="54" t="e">
        <f aca="false">B217*$C$5+F217*$C$6</f>
        <v>#DIV/0!</v>
      </c>
      <c r="K217" s="91"/>
      <c r="M217" s="89"/>
      <c r="N217" s="90"/>
    </row>
    <row r="218" customFormat="false" ht="12.75" hidden="false" customHeight="false" outlineLevel="0" collapsed="false">
      <c r="B218" s="59" t="n">
        <v>33.3075</v>
      </c>
      <c r="C218" s="59" t="n">
        <v>26.1629032258065</v>
      </c>
      <c r="D218" s="59"/>
      <c r="E218" s="60" t="n">
        <v>25.078125</v>
      </c>
      <c r="F218" s="60" t="e">
        <f aca="false">((G218*AD218)-(B218*AE218))*(1/AF218)</f>
        <v>#DIV/0!</v>
      </c>
      <c r="G218" s="54" t="e">
        <f aca="false">((Z218*16*E218)+(B218*W218*16)+(X218*8*C218))/(X218*24)</f>
        <v>#DIV/0!</v>
      </c>
      <c r="H218" s="54" t="e">
        <f aca="false">(F218*AF218+B218*AE218)/AD218</f>
        <v>#DIV/0!</v>
      </c>
      <c r="I218" s="54" t="e">
        <f aca="false">B218*$C$5+F218*$C$6</f>
        <v>#DIV/0!</v>
      </c>
      <c r="K218" s="91"/>
      <c r="M218" s="89"/>
      <c r="N218" s="90"/>
    </row>
    <row r="219" customFormat="false" ht="12.75" hidden="false" customHeight="false" outlineLevel="0" collapsed="false">
      <c r="B219" s="59" t="n">
        <v>30.915</v>
      </c>
      <c r="C219" s="59" t="n">
        <v>23.2541666666667</v>
      </c>
      <c r="D219" s="59"/>
      <c r="E219" s="60" t="n">
        <v>23.23875</v>
      </c>
      <c r="F219" s="60" t="e">
        <f aca="false">((G219*AD219)-(B219*AE219))*(1/AF219)</f>
        <v>#DIV/0!</v>
      </c>
      <c r="G219" s="54" t="e">
        <f aca="false">((Z219*16*E219)+(B219*W219*16)+(X219*8*C219))/(X219*24)</f>
        <v>#DIV/0!</v>
      </c>
      <c r="H219" s="54" t="e">
        <f aca="false">(F219*AF219+B219*AE219)/AD219</f>
        <v>#DIV/0!</v>
      </c>
      <c r="I219" s="54" t="e">
        <f aca="false">B219*$C$5+F219*$C$6</f>
        <v>#DIV/0!</v>
      </c>
      <c r="K219" s="91"/>
      <c r="M219" s="89"/>
      <c r="N219" s="90"/>
    </row>
    <row r="220" customFormat="false" ht="12.75" hidden="false" customHeight="false" outlineLevel="0" collapsed="false">
      <c r="B220" s="59" t="n">
        <v>29.665</v>
      </c>
      <c r="C220" s="59" t="n">
        <v>12.641935483871</v>
      </c>
      <c r="D220" s="59"/>
      <c r="E220" s="60" t="n">
        <v>21.81375</v>
      </c>
      <c r="F220" s="60" t="e">
        <f aca="false">((G220*AD220)-(B220*AE220))*(1/AF220)</f>
        <v>#DIV/0!</v>
      </c>
      <c r="G220" s="54" t="e">
        <f aca="false">((Z220*16*E220)+(B220*W220*16)+(X220*8*C220))/(X220*24)</f>
        <v>#DIV/0!</v>
      </c>
      <c r="H220" s="54" t="e">
        <f aca="false">(F220*AF220+B220*AE220)/AD220</f>
        <v>#DIV/0!</v>
      </c>
      <c r="I220" s="54" t="e">
        <f aca="false">B220*$C$5+F220*$C$6</f>
        <v>#DIV/0!</v>
      </c>
      <c r="K220" s="91"/>
      <c r="M220" s="89"/>
      <c r="N220" s="90"/>
    </row>
    <row r="221" customFormat="false" ht="12.75" hidden="false" customHeight="false" outlineLevel="0" collapsed="false">
      <c r="B221" s="59" t="n">
        <v>29.915</v>
      </c>
      <c r="C221" s="59" t="n">
        <v>12.6666666666667</v>
      </c>
      <c r="D221" s="59"/>
      <c r="E221" s="60" t="n">
        <v>22.48875</v>
      </c>
      <c r="F221" s="60" t="e">
        <f aca="false">((G221*AD221)-(B221*AE221))*(1/AF221)</f>
        <v>#DIV/0!</v>
      </c>
      <c r="G221" s="54" t="e">
        <f aca="false">((Z221*16*E221)+(B221*W221*16)+(X221*8*C221))/(X221*24)</f>
        <v>#DIV/0!</v>
      </c>
      <c r="H221" s="54" t="e">
        <f aca="false">(F221*AF221+B221*AE221)/AD221</f>
        <v>#DIV/0!</v>
      </c>
      <c r="I221" s="54" t="e">
        <f aca="false">B221*$C$5+F221*$C$6</f>
        <v>#DIV/0!</v>
      </c>
      <c r="K221" s="91"/>
      <c r="M221" s="89"/>
      <c r="N221" s="90"/>
    </row>
    <row r="222" customFormat="false" ht="12.75" hidden="false" customHeight="false" outlineLevel="0" collapsed="false">
      <c r="B222" s="59" t="n">
        <v>50.04</v>
      </c>
      <c r="C222" s="59" t="n">
        <v>26.2951612903226</v>
      </c>
      <c r="D222" s="59"/>
      <c r="E222" s="60" t="n">
        <v>37.77</v>
      </c>
      <c r="F222" s="60" t="e">
        <f aca="false">((G222*AD222)-(B222*AE222))*(1/AF222)</f>
        <v>#DIV/0!</v>
      </c>
      <c r="G222" s="54" t="e">
        <f aca="false">((Z222*16*E222)+(B222*W222*16)+(X222*8*C222))/(X222*24)</f>
        <v>#DIV/0!</v>
      </c>
      <c r="H222" s="54" t="e">
        <f aca="false">(F222*AF222+B222*AE222)/AD222</f>
        <v>#DIV/0!</v>
      </c>
      <c r="I222" s="54" t="e">
        <f aca="false">B222*$C$5+F222*$C$6</f>
        <v>#DIV/0!</v>
      </c>
      <c r="K222" s="91"/>
      <c r="M222" s="89"/>
      <c r="N222" s="90"/>
    </row>
    <row r="223" customFormat="false" ht="12.75" hidden="false" customHeight="false" outlineLevel="0" collapsed="false">
      <c r="B223" s="59" t="n">
        <v>67.54</v>
      </c>
      <c r="C223" s="59" t="n">
        <v>28.2629032258065</v>
      </c>
      <c r="D223" s="59"/>
      <c r="E223" s="60" t="n">
        <v>51.645</v>
      </c>
      <c r="F223" s="60" t="e">
        <f aca="false">((G223*AD223)-(B223*AE223))*(1/AF223)</f>
        <v>#DIV/0!</v>
      </c>
      <c r="G223" s="54" t="e">
        <f aca="false">((Z223*16*E223)+(B223*W223*16)+(X223*8*C223))/(X223*24)</f>
        <v>#DIV/0!</v>
      </c>
      <c r="H223" s="54" t="e">
        <f aca="false">(F223*AF223+B223*AE223)/AD223</f>
        <v>#DIV/0!</v>
      </c>
      <c r="I223" s="54" t="e">
        <f aca="false">B223*$C$5+F223*$C$6</f>
        <v>#DIV/0!</v>
      </c>
      <c r="K223" s="91"/>
      <c r="M223" s="89"/>
      <c r="N223" s="90"/>
    </row>
    <row r="224" customFormat="false" ht="12.75" hidden="false" customHeight="false" outlineLevel="0" collapsed="false">
      <c r="B224" s="59" t="n">
        <v>64.665</v>
      </c>
      <c r="C224" s="59" t="n">
        <v>26.45</v>
      </c>
      <c r="D224" s="59"/>
      <c r="E224" s="60" t="n">
        <v>47.80125</v>
      </c>
      <c r="F224" s="60" t="e">
        <f aca="false">((G224*AD224)-(B224*AE224))*(1/AF224)</f>
        <v>#DIV/0!</v>
      </c>
      <c r="G224" s="54" t="e">
        <f aca="false">((Z224*16*E224)+(B224*W224*16)+(X224*8*C224))/(X224*24)</f>
        <v>#DIV/0!</v>
      </c>
      <c r="H224" s="54" t="e">
        <f aca="false">(F224*AF224+B224*AE224)/AD224</f>
        <v>#DIV/0!</v>
      </c>
      <c r="I224" s="54" t="e">
        <f aca="false">B224*$C$5+F224*$C$6</f>
        <v>#DIV/0!</v>
      </c>
      <c r="K224" s="91"/>
      <c r="M224" s="89"/>
      <c r="N224" s="90"/>
    </row>
    <row r="225" customFormat="false" ht="12.75" hidden="false" customHeight="false" outlineLevel="0" collapsed="false">
      <c r="B225" s="59" t="n">
        <v>41.165</v>
      </c>
      <c r="C225" s="59" t="n">
        <v>32.8838709677419</v>
      </c>
      <c r="D225" s="59"/>
      <c r="E225" s="60" t="n">
        <v>31.30125</v>
      </c>
      <c r="K225" s="91"/>
      <c r="M225" s="89"/>
      <c r="N225" s="90"/>
    </row>
    <row r="226" customFormat="false" ht="12.75" hidden="false" customHeight="false" outlineLevel="0" collapsed="false">
      <c r="B226" s="59" t="n">
        <v>40.165</v>
      </c>
      <c r="C226" s="59" t="n">
        <v>30.9416666666667</v>
      </c>
      <c r="D226" s="59"/>
      <c r="E226" s="60" t="n">
        <v>30.36375</v>
      </c>
      <c r="K226" s="91"/>
      <c r="M226" s="89"/>
      <c r="N226" s="90"/>
    </row>
    <row r="227" customFormat="false" ht="12.75" hidden="false" customHeight="false" outlineLevel="0" collapsed="false">
      <c r="B227" s="59" t="n">
        <v>40.415</v>
      </c>
      <c r="C227" s="59" t="n">
        <v>30.9161290322581</v>
      </c>
      <c r="D227" s="59"/>
      <c r="E227" s="60" t="n">
        <v>30.55125</v>
      </c>
      <c r="K227" s="91"/>
      <c r="M227" s="89"/>
      <c r="N227" s="90"/>
    </row>
    <row r="228" customFormat="false" ht="12.75" hidden="false" customHeight="false" outlineLevel="0" collapsed="false">
      <c r="B228" s="59" t="n">
        <v>36.45</v>
      </c>
      <c r="C228" s="59" t="n">
        <v>29.1241935483871</v>
      </c>
      <c r="D228" s="59"/>
      <c r="E228" s="60" t="n">
        <v>27.45</v>
      </c>
      <c r="K228" s="91"/>
      <c r="M228" s="89"/>
      <c r="N228" s="90"/>
    </row>
    <row r="229" customFormat="false" ht="12.75" hidden="false" customHeight="false" outlineLevel="0" collapsed="false">
      <c r="B229" s="59" t="n">
        <v>35.95</v>
      </c>
      <c r="C229" s="59" t="n">
        <v>27.2428571428571</v>
      </c>
      <c r="D229" s="59"/>
      <c r="E229" s="60" t="n">
        <v>26.7</v>
      </c>
      <c r="K229" s="91"/>
      <c r="M229" s="89"/>
      <c r="N229" s="90"/>
    </row>
    <row r="230" customFormat="false" ht="12.75" hidden="false" customHeight="false" outlineLevel="0" collapsed="false">
      <c r="B230" s="59" t="n">
        <v>33.4025</v>
      </c>
      <c r="C230" s="59" t="n">
        <v>26.2129032258065</v>
      </c>
      <c r="D230" s="59"/>
      <c r="E230" s="60" t="n">
        <v>25.149375</v>
      </c>
      <c r="K230" s="91"/>
      <c r="M230" s="89"/>
      <c r="N230" s="90"/>
    </row>
    <row r="231" customFormat="false" ht="12.75" hidden="false" customHeight="false" outlineLevel="0" collapsed="false">
      <c r="B231" s="59" t="n">
        <v>31.01</v>
      </c>
      <c r="C231" s="59" t="n">
        <v>23.3041666666667</v>
      </c>
      <c r="D231" s="59"/>
      <c r="E231" s="60" t="n">
        <v>23.31</v>
      </c>
      <c r="K231" s="91"/>
      <c r="M231" s="89"/>
      <c r="N231" s="90"/>
    </row>
    <row r="232" customFormat="false" ht="12.75" hidden="false" customHeight="false" outlineLevel="0" collapsed="false">
      <c r="B232" s="59" t="n">
        <v>29.76</v>
      </c>
      <c r="C232" s="59" t="n">
        <v>12.691935483871</v>
      </c>
      <c r="D232" s="59"/>
      <c r="E232" s="60" t="n">
        <v>21.885</v>
      </c>
      <c r="K232" s="91"/>
      <c r="M232" s="89"/>
      <c r="N232" s="90"/>
    </row>
    <row r="233" customFormat="false" ht="12.75" hidden="false" customHeight="false" outlineLevel="0" collapsed="false">
      <c r="B233" s="59" t="n">
        <v>30.01</v>
      </c>
      <c r="C233" s="59" t="n">
        <v>12.7166666666667</v>
      </c>
      <c r="D233" s="59"/>
      <c r="E233" s="60" t="n">
        <v>22.56</v>
      </c>
      <c r="K233" s="91"/>
      <c r="M233" s="89"/>
      <c r="N233" s="90"/>
    </row>
    <row r="234" customFormat="false" ht="12.75" hidden="false" customHeight="false" outlineLevel="0" collapsed="false">
      <c r="B234" s="59" t="n">
        <v>50.26</v>
      </c>
      <c r="C234" s="59" t="n">
        <v>26.3451612903226</v>
      </c>
      <c r="D234" s="59"/>
      <c r="E234" s="60" t="n">
        <v>37.935</v>
      </c>
      <c r="K234" s="91"/>
      <c r="M234" s="89"/>
      <c r="N234" s="90"/>
    </row>
    <row r="235" customFormat="false" ht="12.75" hidden="false" customHeight="false" outlineLevel="0" collapsed="false">
      <c r="B235" s="59" t="n">
        <v>67.76</v>
      </c>
      <c r="C235" s="59" t="n">
        <v>28.3129032258065</v>
      </c>
      <c r="D235" s="59"/>
      <c r="E235" s="60" t="n">
        <v>51.81</v>
      </c>
      <c r="K235" s="91"/>
      <c r="M235" s="89"/>
      <c r="N235" s="90"/>
    </row>
    <row r="236" customFormat="false" ht="12.75" hidden="false" customHeight="false" outlineLevel="0" collapsed="false">
      <c r="B236" s="59" t="n">
        <v>64.76</v>
      </c>
      <c r="C236" s="59" t="n">
        <v>26.5</v>
      </c>
      <c r="D236" s="59"/>
      <c r="E236" s="60" t="n">
        <v>47.8725</v>
      </c>
      <c r="K236" s="91"/>
      <c r="M236" s="89"/>
      <c r="N236" s="90"/>
    </row>
    <row r="237" customFormat="false" ht="12.75" hidden="false" customHeight="false" outlineLevel="0" collapsed="false">
      <c r="B237" s="59" t="n">
        <v>41.26</v>
      </c>
      <c r="C237" s="59" t="n">
        <v>32.9338709677419</v>
      </c>
      <c r="D237" s="59"/>
      <c r="E237" s="60" t="n">
        <v>31.3725</v>
      </c>
      <c r="K237" s="91"/>
      <c r="M237" s="89"/>
      <c r="N237" s="90"/>
    </row>
    <row r="238" customFormat="false" ht="12.75" hidden="false" customHeight="false" outlineLevel="0" collapsed="false">
      <c r="B238" s="59" t="n">
        <v>40.26</v>
      </c>
      <c r="C238" s="59" t="n">
        <v>30.9916666666667</v>
      </c>
      <c r="D238" s="59"/>
      <c r="E238" s="60" t="n">
        <v>30.435</v>
      </c>
      <c r="K238" s="91"/>
      <c r="M238" s="89"/>
      <c r="N238" s="90"/>
    </row>
    <row r="239" customFormat="false" ht="12.75" hidden="false" customHeight="false" outlineLevel="0" collapsed="false">
      <c r="B239" s="59" t="n">
        <v>40.51</v>
      </c>
      <c r="C239" s="59" t="n">
        <v>30.9661290322581</v>
      </c>
      <c r="D239" s="59"/>
      <c r="E239" s="60" t="n">
        <v>30.6225</v>
      </c>
      <c r="K239" s="91"/>
      <c r="M239" s="89"/>
      <c r="N239" s="90"/>
    </row>
    <row r="240" customFormat="false" ht="12.75" hidden="false" customHeight="false" outlineLevel="0" collapsed="false">
      <c r="B240" s="59" t="n">
        <v>36.55</v>
      </c>
      <c r="C240" s="59" t="n">
        <v>29.1741935483871</v>
      </c>
      <c r="D240" s="59"/>
      <c r="E240" s="60" t="n">
        <v>27.525</v>
      </c>
      <c r="K240" s="91"/>
      <c r="M240" s="89"/>
      <c r="N240" s="90"/>
    </row>
    <row r="241" customFormat="false" ht="12.75" hidden="false" customHeight="false" outlineLevel="0" collapsed="false">
      <c r="B241" s="59" t="n">
        <v>36.05</v>
      </c>
      <c r="C241" s="59" t="n">
        <v>27.2928571428571</v>
      </c>
      <c r="D241" s="59"/>
      <c r="E241" s="60" t="n">
        <v>26.775</v>
      </c>
      <c r="K241" s="91"/>
      <c r="M241" s="89"/>
      <c r="N241" s="90"/>
    </row>
    <row r="242" customFormat="false" ht="12.75" hidden="false" customHeight="false" outlineLevel="0" collapsed="false">
      <c r="B242" s="59" t="n">
        <v>33.4975</v>
      </c>
      <c r="C242" s="59" t="n">
        <v>26.2629032258065</v>
      </c>
      <c r="D242" s="59"/>
      <c r="E242" s="60" t="n">
        <v>25.220625</v>
      </c>
      <c r="K242" s="91"/>
      <c r="M242" s="89"/>
      <c r="N242" s="90"/>
    </row>
    <row r="243" customFormat="false" ht="12.75" hidden="false" customHeight="false" outlineLevel="0" collapsed="false">
      <c r="B243" s="59" t="n">
        <v>31.105</v>
      </c>
      <c r="C243" s="59" t="n">
        <v>23.3541666666667</v>
      </c>
      <c r="D243" s="59"/>
      <c r="E243" s="60" t="n">
        <v>23.38125</v>
      </c>
      <c r="K243" s="91"/>
      <c r="M243" s="89"/>
      <c r="N243" s="90"/>
    </row>
    <row r="244" customFormat="false" ht="12.75" hidden="false" customHeight="false" outlineLevel="0" collapsed="false">
      <c r="B244" s="59" t="n">
        <v>29.855</v>
      </c>
      <c r="C244" s="59" t="n">
        <v>12.741935483871</v>
      </c>
      <c r="D244" s="59"/>
      <c r="E244" s="60" t="n">
        <v>21.95625</v>
      </c>
      <c r="K244" s="91"/>
      <c r="M244" s="89"/>
      <c r="N244" s="90"/>
    </row>
    <row r="245" customFormat="false" ht="12.75" hidden="false" customHeight="false" outlineLevel="0" collapsed="false">
      <c r="B245" s="59" t="n">
        <v>30.105</v>
      </c>
      <c r="C245" s="59" t="n">
        <v>12.7666666666667</v>
      </c>
      <c r="D245" s="59"/>
      <c r="E245" s="60" t="n">
        <v>22.63125</v>
      </c>
      <c r="K245" s="91"/>
      <c r="M245" s="89"/>
      <c r="N245" s="90"/>
    </row>
    <row r="246" customFormat="false" ht="12.75" hidden="false" customHeight="false" outlineLevel="0" collapsed="false">
      <c r="B246" s="59" t="n">
        <v>50.48</v>
      </c>
      <c r="C246" s="59" t="n">
        <v>26.3951612903226</v>
      </c>
      <c r="D246" s="59"/>
      <c r="E246" s="60" t="n">
        <v>38.1</v>
      </c>
      <c r="K246" s="91"/>
      <c r="M246" s="89"/>
      <c r="N246" s="90"/>
    </row>
    <row r="247" customFormat="false" ht="12.75" hidden="false" customHeight="false" outlineLevel="0" collapsed="false">
      <c r="B247" s="59" t="n">
        <v>67.98</v>
      </c>
      <c r="C247" s="59" t="n">
        <v>28.3629032258065</v>
      </c>
      <c r="D247" s="59"/>
      <c r="E247" s="60" t="n">
        <v>51.975</v>
      </c>
      <c r="K247" s="91"/>
      <c r="M247" s="89"/>
      <c r="N247" s="90"/>
    </row>
    <row r="248" customFormat="false" ht="12.75" hidden="false" customHeight="false" outlineLevel="0" collapsed="false">
      <c r="B248" s="59" t="n">
        <v>64.855</v>
      </c>
      <c r="C248" s="59" t="n">
        <v>26.55</v>
      </c>
      <c r="D248" s="59"/>
      <c r="E248" s="60" t="n">
        <v>47.94375</v>
      </c>
      <c r="K248" s="91"/>
      <c r="M248" s="89"/>
      <c r="N248" s="90"/>
    </row>
    <row r="249" customFormat="false" ht="12.75" hidden="false" customHeight="false" outlineLevel="0" collapsed="false">
      <c r="B249" s="59" t="n">
        <v>41.355</v>
      </c>
      <c r="C249" s="59" t="n">
        <v>32.9838709677419</v>
      </c>
      <c r="D249" s="59"/>
      <c r="E249" s="60" t="n">
        <v>31.44375</v>
      </c>
      <c r="K249" s="91"/>
      <c r="M249" s="89"/>
      <c r="N249" s="90"/>
    </row>
    <row r="250" customFormat="false" ht="12.75" hidden="false" customHeight="false" outlineLevel="0" collapsed="false">
      <c r="B250" s="59" t="n">
        <v>40.355</v>
      </c>
      <c r="C250" s="59" t="n">
        <v>31.0416666666667</v>
      </c>
      <c r="D250" s="59"/>
      <c r="E250" s="60" t="n">
        <v>30.50625</v>
      </c>
      <c r="K250" s="91"/>
      <c r="M250" s="89"/>
      <c r="N250" s="90"/>
    </row>
    <row r="251" customFormat="false" ht="12.75" hidden="false" customHeight="false" outlineLevel="0" collapsed="false">
      <c r="B251" s="59" t="n">
        <v>40.605</v>
      </c>
      <c r="C251" s="59" t="n">
        <v>31.0161290322581</v>
      </c>
      <c r="D251" s="59"/>
      <c r="E251" s="60" t="n">
        <v>30.69375</v>
      </c>
      <c r="K251" s="91"/>
      <c r="M251" s="89"/>
      <c r="N251" s="90"/>
    </row>
    <row r="252" customFormat="false" ht="12.75" hidden="false" customHeight="false" outlineLevel="0" collapsed="false">
      <c r="B252" s="59" t="n">
        <v>36.65</v>
      </c>
      <c r="C252" s="59" t="n">
        <v>29.2241935483871</v>
      </c>
      <c r="D252" s="59"/>
      <c r="E252" s="60" t="n">
        <v>27.6</v>
      </c>
      <c r="K252" s="91"/>
      <c r="M252" s="89"/>
      <c r="N252" s="90"/>
    </row>
    <row r="253" customFormat="false" ht="12.75" hidden="false" customHeight="false" outlineLevel="0" collapsed="false">
      <c r="B253" s="59" t="n">
        <v>36.15</v>
      </c>
      <c r="C253" s="59" t="n">
        <v>27.3428571428571</v>
      </c>
      <c r="D253" s="59"/>
      <c r="E253" s="60" t="n">
        <v>26.85</v>
      </c>
      <c r="K253" s="91"/>
      <c r="M253" s="89"/>
      <c r="N253" s="90"/>
    </row>
    <row r="254" customFormat="false" ht="12.75" hidden="false" customHeight="false" outlineLevel="0" collapsed="false">
      <c r="B254" s="59" t="n">
        <v>33.5925</v>
      </c>
      <c r="C254" s="59" t="n">
        <v>26.3129032258065</v>
      </c>
      <c r="D254" s="59"/>
      <c r="E254" s="60" t="n">
        <v>25.291875</v>
      </c>
      <c r="K254" s="91"/>
      <c r="M254" s="89"/>
      <c r="N254" s="90"/>
    </row>
    <row r="255" customFormat="false" ht="12.75" hidden="false" customHeight="false" outlineLevel="0" collapsed="false">
      <c r="B255" s="59" t="n">
        <v>31.2</v>
      </c>
      <c r="C255" s="59" t="n">
        <v>23.4041666666667</v>
      </c>
      <c r="D255" s="59"/>
      <c r="E255" s="60" t="n">
        <v>23.4525</v>
      </c>
      <c r="K255" s="91"/>
      <c r="M255" s="89"/>
      <c r="N255" s="90"/>
    </row>
    <row r="256" customFormat="false" ht="12.75" hidden="false" customHeight="false" outlineLevel="0" collapsed="false">
      <c r="B256" s="59" t="n">
        <v>29.95</v>
      </c>
      <c r="C256" s="59" t="n">
        <v>12.791935483871</v>
      </c>
      <c r="D256" s="59"/>
      <c r="E256" s="60" t="n">
        <v>22.0275</v>
      </c>
      <c r="K256" s="91"/>
      <c r="M256" s="89"/>
      <c r="N256" s="90"/>
    </row>
    <row r="257" customFormat="false" ht="12.75" hidden="false" customHeight="false" outlineLevel="0" collapsed="false">
      <c r="B257" s="59" t="n">
        <v>30.2</v>
      </c>
      <c r="C257" s="59" t="n">
        <v>12.8166666666667</v>
      </c>
      <c r="D257" s="59"/>
      <c r="E257" s="60" t="n">
        <v>22.7025</v>
      </c>
      <c r="K257" s="91"/>
      <c r="M257" s="89"/>
      <c r="N257" s="90"/>
    </row>
    <row r="258" customFormat="false" ht="12.75" hidden="false" customHeight="false" outlineLevel="0" collapsed="false">
      <c r="B258" s="59" t="n">
        <v>50.7</v>
      </c>
      <c r="C258" s="59" t="n">
        <v>26.4451612903226</v>
      </c>
      <c r="D258" s="59"/>
      <c r="E258" s="60" t="n">
        <v>38.265</v>
      </c>
      <c r="K258" s="91"/>
      <c r="M258" s="89"/>
      <c r="N258" s="90"/>
    </row>
    <row r="259" customFormat="false" ht="12.75" hidden="false" customHeight="false" outlineLevel="0" collapsed="false">
      <c r="B259" s="59" t="n">
        <v>68.2</v>
      </c>
      <c r="C259" s="59" t="n">
        <v>28.4129032258065</v>
      </c>
      <c r="D259" s="59"/>
      <c r="E259" s="60" t="n">
        <v>52.14</v>
      </c>
      <c r="K259" s="91"/>
      <c r="M259" s="89"/>
      <c r="N259" s="90"/>
    </row>
    <row r="260" customFormat="false" ht="12.75" hidden="false" customHeight="false" outlineLevel="0" collapsed="false">
      <c r="B260" s="59" t="n">
        <v>64.95</v>
      </c>
      <c r="C260" s="59" t="n">
        <v>26.6</v>
      </c>
      <c r="D260" s="59"/>
      <c r="E260" s="60" t="n">
        <v>48.015</v>
      </c>
      <c r="K260" s="91"/>
      <c r="M260" s="89"/>
      <c r="N260" s="90"/>
    </row>
    <row r="261" customFormat="false" ht="12.75" hidden="false" customHeight="false" outlineLevel="0" collapsed="false">
      <c r="B261" s="59" t="n">
        <v>41.45</v>
      </c>
      <c r="C261" s="59" t="n">
        <v>33.0338709677419</v>
      </c>
      <c r="D261" s="59"/>
      <c r="E261" s="60" t="n">
        <v>31.515</v>
      </c>
      <c r="K261" s="91"/>
      <c r="M261" s="89"/>
      <c r="N261" s="90"/>
    </row>
    <row r="262" customFormat="false" ht="12.75" hidden="false" customHeight="false" outlineLevel="0" collapsed="false">
      <c r="B262" s="59" t="n">
        <v>40.45</v>
      </c>
      <c r="C262" s="59" t="n">
        <v>31.0916666666667</v>
      </c>
      <c r="D262" s="59"/>
      <c r="E262" s="60" t="n">
        <v>30.5775</v>
      </c>
      <c r="K262" s="91"/>
      <c r="M262" s="89"/>
      <c r="N262" s="90"/>
    </row>
    <row r="263" customFormat="false" ht="12.75" hidden="false" customHeight="false" outlineLevel="0" collapsed="false">
      <c r="B263" s="59" t="n">
        <v>40.7</v>
      </c>
      <c r="C263" s="59" t="n">
        <v>31.0661290322581</v>
      </c>
      <c r="D263" s="59"/>
      <c r="E263" s="60" t="n">
        <v>30.765</v>
      </c>
      <c r="K263" s="91"/>
      <c r="M263" s="89"/>
      <c r="N263" s="90"/>
    </row>
    <row r="264" customFormat="false" ht="12.75" hidden="false" customHeight="false" outlineLevel="0" collapsed="false">
      <c r="B264" s="59" t="n">
        <v>36.75</v>
      </c>
      <c r="C264" s="59" t="n">
        <v>29.2741935483871</v>
      </c>
      <c r="D264" s="59"/>
      <c r="E264" s="60" t="n">
        <v>27.675</v>
      </c>
      <c r="K264" s="91"/>
      <c r="M264" s="89"/>
      <c r="N264" s="90"/>
    </row>
    <row r="265" customFormat="false" ht="12.75" hidden="false" customHeight="false" outlineLevel="0" collapsed="false">
      <c r="B265" s="59" t="n">
        <v>36.25</v>
      </c>
      <c r="C265" s="59" t="n">
        <v>27.3928571428571</v>
      </c>
      <c r="D265" s="59"/>
      <c r="E265" s="60" t="n">
        <v>26.925</v>
      </c>
      <c r="K265" s="91"/>
      <c r="M265" s="89"/>
      <c r="N265" s="90"/>
    </row>
    <row r="266" customFormat="false" ht="12.75" hidden="false" customHeight="false" outlineLevel="0" collapsed="false">
      <c r="B266" s="59" t="n">
        <v>33.6875</v>
      </c>
      <c r="C266" s="59" t="n">
        <v>26.3629032258065</v>
      </c>
      <c r="D266" s="59"/>
      <c r="E266" s="60" t="n">
        <v>25.363125</v>
      </c>
      <c r="K266" s="91"/>
      <c r="M266" s="89"/>
      <c r="N266" s="90"/>
    </row>
    <row r="267" customFormat="false" ht="12.75" hidden="false" customHeight="false" outlineLevel="0" collapsed="false">
      <c r="B267" s="59" t="n">
        <v>31.295</v>
      </c>
      <c r="C267" s="59" t="n">
        <v>23.4541666666667</v>
      </c>
      <c r="D267" s="59"/>
      <c r="E267" s="60" t="n">
        <v>23.52375</v>
      </c>
      <c r="K267" s="91"/>
      <c r="M267" s="89"/>
      <c r="N267" s="90"/>
    </row>
    <row r="268" customFormat="false" ht="12.75" hidden="false" customHeight="false" outlineLevel="0" collapsed="false">
      <c r="B268" s="59" t="n">
        <v>30.045</v>
      </c>
      <c r="C268" s="59" t="n">
        <v>12.841935483871</v>
      </c>
      <c r="D268" s="59"/>
      <c r="E268" s="60" t="n">
        <v>22.09875</v>
      </c>
      <c r="K268" s="91"/>
      <c r="M268" s="89"/>
      <c r="N268" s="90"/>
    </row>
    <row r="269" customFormat="false" ht="12.75" hidden="false" customHeight="false" outlineLevel="0" collapsed="false">
      <c r="B269" s="59" t="n">
        <v>30.295</v>
      </c>
      <c r="C269" s="59" t="n">
        <v>12.8666666666667</v>
      </c>
      <c r="D269" s="59"/>
      <c r="E269" s="60" t="n">
        <v>22.77375</v>
      </c>
      <c r="K269" s="91"/>
      <c r="M269" s="89"/>
      <c r="N269" s="90"/>
    </row>
    <row r="270" customFormat="false" ht="12.75" hidden="false" customHeight="false" outlineLevel="0" collapsed="false">
      <c r="B270" s="59" t="n">
        <v>50.92</v>
      </c>
      <c r="C270" s="59" t="n">
        <v>26.4951612903226</v>
      </c>
      <c r="D270" s="59"/>
      <c r="E270" s="60" t="n">
        <v>38.43</v>
      </c>
      <c r="K270" s="91"/>
      <c r="M270" s="89"/>
      <c r="N270" s="90"/>
    </row>
    <row r="271" customFormat="false" ht="12.75" hidden="false" customHeight="false" outlineLevel="0" collapsed="false">
      <c r="B271" s="59" t="n">
        <v>68.42</v>
      </c>
      <c r="C271" s="59" t="n">
        <v>28.4629032258065</v>
      </c>
      <c r="D271" s="59"/>
      <c r="E271" s="60" t="n">
        <v>52.305</v>
      </c>
      <c r="K271" s="91"/>
      <c r="M271" s="89"/>
      <c r="N271" s="90"/>
    </row>
    <row r="272" customFormat="false" ht="12.75" hidden="false" customHeight="false" outlineLevel="0" collapsed="false">
      <c r="B272" s="59" t="n">
        <v>65.045</v>
      </c>
      <c r="C272" s="59" t="n">
        <v>26.65</v>
      </c>
      <c r="D272" s="59"/>
      <c r="E272" s="60" t="n">
        <v>48.08625</v>
      </c>
      <c r="K272" s="91"/>
      <c r="M272" s="89"/>
      <c r="N272" s="90"/>
    </row>
    <row r="273" customFormat="false" ht="12.75" hidden="false" customHeight="false" outlineLevel="0" collapsed="false">
      <c r="B273" s="59" t="n">
        <v>41.545</v>
      </c>
      <c r="C273" s="59" t="n">
        <v>33.0838709677419</v>
      </c>
      <c r="D273" s="59"/>
      <c r="E273" s="60" t="n">
        <v>31.58625</v>
      </c>
      <c r="K273" s="91"/>
      <c r="M273" s="89"/>
      <c r="N273" s="90"/>
    </row>
    <row r="274" customFormat="false" ht="12.75" hidden="false" customHeight="false" outlineLevel="0" collapsed="false">
      <c r="B274" s="59" t="n">
        <v>40.545</v>
      </c>
      <c r="C274" s="59" t="n">
        <v>31.1416666666667</v>
      </c>
      <c r="D274" s="59"/>
      <c r="E274" s="60" t="n">
        <v>30.64875</v>
      </c>
      <c r="K274" s="91"/>
      <c r="M274" s="89"/>
      <c r="N274" s="90"/>
    </row>
    <row r="275" customFormat="false" ht="12.75" hidden="false" customHeight="false" outlineLevel="0" collapsed="false">
      <c r="B275" s="59" t="n">
        <v>40.795</v>
      </c>
      <c r="C275" s="59" t="n">
        <v>31.1161290322581</v>
      </c>
      <c r="D275" s="59"/>
      <c r="E275" s="60" t="n">
        <v>30.83625</v>
      </c>
      <c r="K275" s="91"/>
      <c r="M275" s="89"/>
      <c r="N275" s="90"/>
    </row>
    <row r="276" customFormat="false" ht="12.75" hidden="false" customHeight="false" outlineLevel="0" collapsed="false">
      <c r="B276" s="59" t="n">
        <v>36.85</v>
      </c>
      <c r="C276" s="59" t="n">
        <v>29.3241935483871</v>
      </c>
      <c r="D276" s="59"/>
      <c r="E276" s="60" t="n">
        <v>27.75</v>
      </c>
      <c r="K276" s="91"/>
      <c r="M276" s="89"/>
      <c r="N276" s="90"/>
    </row>
    <row r="277" customFormat="false" ht="12.75" hidden="false" customHeight="false" outlineLevel="0" collapsed="false">
      <c r="B277" s="59" t="n">
        <v>36.35</v>
      </c>
      <c r="C277" s="59" t="n">
        <v>27.4428571428571</v>
      </c>
      <c r="D277" s="59"/>
      <c r="E277" s="60" t="n">
        <v>27</v>
      </c>
      <c r="K277" s="91"/>
      <c r="M277" s="89"/>
      <c r="N277" s="90"/>
    </row>
    <row r="278" customFormat="false" ht="12.75" hidden="false" customHeight="false" outlineLevel="0" collapsed="false">
      <c r="B278" s="59" t="n">
        <v>33.7825</v>
      </c>
      <c r="C278" s="59" t="n">
        <v>26.4129032258065</v>
      </c>
      <c r="D278" s="59"/>
      <c r="E278" s="60" t="n">
        <v>25.434375</v>
      </c>
      <c r="K278" s="91"/>
      <c r="M278" s="89"/>
      <c r="N278" s="90"/>
    </row>
    <row r="279" customFormat="false" ht="12.75" hidden="false" customHeight="false" outlineLevel="0" collapsed="false">
      <c r="B279" s="59" t="n">
        <v>31.39</v>
      </c>
      <c r="C279" s="59" t="n">
        <v>23.5041666666667</v>
      </c>
      <c r="D279" s="59"/>
      <c r="E279" s="60" t="n">
        <v>23.595</v>
      </c>
      <c r="K279" s="91"/>
      <c r="M279" s="89"/>
      <c r="N279" s="90"/>
    </row>
    <row r="280" customFormat="false" ht="12.75" hidden="false" customHeight="false" outlineLevel="0" collapsed="false">
      <c r="B280" s="59" t="n">
        <v>30.14</v>
      </c>
      <c r="C280" s="59" t="n">
        <v>12.891935483871</v>
      </c>
      <c r="D280" s="59"/>
      <c r="E280" s="60" t="n">
        <v>22.17</v>
      </c>
      <c r="K280" s="91"/>
      <c r="M280" s="89"/>
      <c r="N280" s="90"/>
    </row>
    <row r="281" customFormat="false" ht="12.75" hidden="false" customHeight="false" outlineLevel="0" collapsed="false">
      <c r="B281" s="59" t="n">
        <v>30.39</v>
      </c>
      <c r="C281" s="59" t="n">
        <v>12.9166666666667</v>
      </c>
      <c r="D281" s="59"/>
      <c r="E281" s="60" t="n">
        <v>22.845</v>
      </c>
      <c r="K281" s="91"/>
      <c r="M281" s="89"/>
      <c r="N281" s="90"/>
    </row>
    <row r="282" customFormat="false" ht="12.75" hidden="false" customHeight="false" outlineLevel="0" collapsed="false">
      <c r="B282" s="59" t="n">
        <v>51.14</v>
      </c>
      <c r="C282" s="59" t="n">
        <v>26.5451612903226</v>
      </c>
      <c r="D282" s="59"/>
      <c r="E282" s="60" t="n">
        <v>38.595</v>
      </c>
      <c r="K282" s="91"/>
      <c r="M282" s="89"/>
      <c r="N282" s="90"/>
    </row>
    <row r="283" customFormat="false" ht="12.75" hidden="false" customHeight="false" outlineLevel="0" collapsed="false">
      <c r="B283" s="59" t="n">
        <v>68.64</v>
      </c>
      <c r="C283" s="59" t="n">
        <v>28.5129032258065</v>
      </c>
      <c r="D283" s="59"/>
      <c r="E283" s="60" t="n">
        <v>52.47</v>
      </c>
      <c r="K283" s="91"/>
      <c r="M283" s="89"/>
      <c r="N283" s="90"/>
    </row>
    <row r="284" customFormat="false" ht="12.75" hidden="false" customHeight="false" outlineLevel="0" collapsed="false">
      <c r="B284" s="59" t="n">
        <v>65.14</v>
      </c>
      <c r="C284" s="59" t="n">
        <v>26.7</v>
      </c>
      <c r="D284" s="59"/>
      <c r="E284" s="60" t="n">
        <v>48.1575</v>
      </c>
      <c r="K284" s="91"/>
      <c r="M284" s="89"/>
      <c r="N284" s="90"/>
    </row>
    <row r="285" customFormat="false" ht="12.75" hidden="false" customHeight="false" outlineLevel="0" collapsed="false">
      <c r="B285" s="59" t="n">
        <v>41.64</v>
      </c>
      <c r="C285" s="59" t="n">
        <v>33.1338709677419</v>
      </c>
      <c r="D285" s="59"/>
      <c r="E285" s="60" t="n">
        <v>31.6575</v>
      </c>
      <c r="K285" s="91"/>
      <c r="M285" s="89"/>
      <c r="N285" s="90"/>
    </row>
    <row r="286" customFormat="false" ht="12.75" hidden="false" customHeight="false" outlineLevel="0" collapsed="false">
      <c r="B286" s="59" t="n">
        <v>40.64</v>
      </c>
      <c r="C286" s="59" t="n">
        <v>31.1916666666667</v>
      </c>
      <c r="D286" s="59"/>
      <c r="E286" s="60" t="n">
        <v>30.72</v>
      </c>
      <c r="K286" s="91"/>
      <c r="M286" s="89"/>
      <c r="N286" s="90"/>
    </row>
    <row r="287" customFormat="false" ht="12.75" hidden="false" customHeight="false" outlineLevel="0" collapsed="false">
      <c r="B287" s="59" t="n">
        <v>40.89</v>
      </c>
      <c r="C287" s="59" t="n">
        <v>31.1661290322581</v>
      </c>
      <c r="D287" s="59"/>
      <c r="E287" s="60" t="n">
        <v>30.9075</v>
      </c>
      <c r="K287" s="91"/>
      <c r="M287" s="89"/>
      <c r="N287" s="90"/>
    </row>
    <row r="288" customFormat="false" ht="12.75" hidden="false" customHeight="false" outlineLevel="0" collapsed="false">
      <c r="B288" s="59" t="n">
        <v>36.95</v>
      </c>
      <c r="C288" s="59" t="n">
        <v>29.3741935483871</v>
      </c>
      <c r="D288" s="59"/>
      <c r="E288" s="60" t="n">
        <v>27.825</v>
      </c>
      <c r="K288" s="91"/>
      <c r="M288" s="89"/>
      <c r="N288" s="90"/>
    </row>
    <row r="289" customFormat="false" ht="12.75" hidden="false" customHeight="false" outlineLevel="0" collapsed="false">
      <c r="B289" s="59" t="n">
        <v>36.45</v>
      </c>
      <c r="C289" s="59" t="n">
        <v>27.4928571428571</v>
      </c>
      <c r="D289" s="59"/>
      <c r="E289" s="60" t="n">
        <v>27.075</v>
      </c>
      <c r="K289" s="91"/>
      <c r="M289" s="89"/>
      <c r="N289" s="90"/>
    </row>
    <row r="290" customFormat="false" ht="12.75" hidden="false" customHeight="false" outlineLevel="0" collapsed="false">
      <c r="B290" s="59" t="n">
        <v>33.8775</v>
      </c>
      <c r="C290" s="59" t="n">
        <v>26.4629032258065</v>
      </c>
      <c r="D290" s="59"/>
      <c r="E290" s="60" t="n">
        <v>25.505625</v>
      </c>
      <c r="K290" s="91"/>
      <c r="M290" s="89"/>
      <c r="N290" s="90"/>
    </row>
    <row r="291" customFormat="false" ht="12.75" hidden="false" customHeight="false" outlineLevel="0" collapsed="false">
      <c r="B291" s="59" t="n">
        <v>31.485</v>
      </c>
      <c r="C291" s="59" t="n">
        <v>23.5541666666667</v>
      </c>
      <c r="D291" s="59"/>
      <c r="E291" s="60" t="n">
        <v>23.66625</v>
      </c>
      <c r="K291" s="91"/>
      <c r="M291" s="89"/>
      <c r="N291" s="90"/>
    </row>
    <row r="292" customFormat="false" ht="12.75" hidden="false" customHeight="false" outlineLevel="0" collapsed="false">
      <c r="B292" s="59" t="n">
        <v>30.235</v>
      </c>
      <c r="C292" s="59" t="n">
        <v>12.941935483871</v>
      </c>
      <c r="D292" s="59"/>
      <c r="E292" s="60" t="n">
        <v>22.24125</v>
      </c>
      <c r="K292" s="91"/>
      <c r="M292" s="89"/>
      <c r="N292" s="90"/>
    </row>
    <row r="293" customFormat="false" ht="12.75" hidden="false" customHeight="false" outlineLevel="0" collapsed="false">
      <c r="B293" s="59" t="n">
        <v>30.485</v>
      </c>
      <c r="C293" s="59" t="n">
        <v>12.9666666666667</v>
      </c>
      <c r="D293" s="59"/>
      <c r="E293" s="60" t="n">
        <v>22.91625</v>
      </c>
      <c r="K293" s="91"/>
      <c r="M293" s="89"/>
      <c r="N293" s="90"/>
    </row>
    <row r="294" customFormat="false" ht="12.75" hidden="false" customHeight="false" outlineLevel="0" collapsed="false">
      <c r="K294" s="91"/>
      <c r="M294" s="89"/>
      <c r="N294" s="90"/>
    </row>
    <row r="295" customFormat="false" ht="12.75" hidden="false" customHeight="false" outlineLevel="0" collapsed="false">
      <c r="K295" s="91"/>
      <c r="M295" s="89"/>
      <c r="N295" s="90"/>
    </row>
    <row r="296" customFormat="false" ht="12.75" hidden="false" customHeight="false" outlineLevel="0" collapsed="false">
      <c r="K296" s="91"/>
      <c r="M296" s="89"/>
      <c r="N296" s="90"/>
    </row>
    <row r="297" customFormat="false" ht="12.75" hidden="false" customHeight="false" outlineLevel="0" collapsed="false">
      <c r="K297" s="91"/>
      <c r="M297" s="89"/>
      <c r="N297" s="90"/>
    </row>
    <row r="298" customFormat="false" ht="12.75" hidden="false" customHeight="false" outlineLevel="0" collapsed="false">
      <c r="K298" s="91"/>
      <c r="M298" s="89"/>
      <c r="N298" s="90"/>
    </row>
    <row r="299" customFormat="false" ht="12.75" hidden="false" customHeight="false" outlineLevel="0" collapsed="false">
      <c r="K299" s="91"/>
      <c r="M299" s="89"/>
      <c r="N299" s="90"/>
    </row>
    <row r="300" customFormat="false" ht="12.75" hidden="false" customHeight="false" outlineLevel="0" collapsed="false">
      <c r="K300" s="91"/>
      <c r="M300" s="89"/>
      <c r="N300" s="90"/>
    </row>
    <row r="301" customFormat="false" ht="12.75" hidden="false" customHeight="false" outlineLevel="0" collapsed="false">
      <c r="K301" s="91"/>
      <c r="M301" s="89"/>
      <c r="N301" s="90"/>
    </row>
    <row r="302" customFormat="false" ht="12.75" hidden="false" customHeight="false" outlineLevel="0" collapsed="false">
      <c r="K302" s="91"/>
      <c r="M302" s="89"/>
      <c r="N302" s="90"/>
    </row>
    <row r="303" customFormat="false" ht="12.75" hidden="false" customHeight="false" outlineLevel="0" collapsed="false">
      <c r="K303" s="91"/>
      <c r="M303" s="89"/>
      <c r="N303" s="90"/>
    </row>
    <row r="304" customFormat="false" ht="12.75" hidden="false" customHeight="false" outlineLevel="0" collapsed="false">
      <c r="K304" s="91"/>
      <c r="M304" s="89"/>
      <c r="N304" s="90"/>
    </row>
    <row r="305" customFormat="false" ht="12.75" hidden="false" customHeight="false" outlineLevel="0" collapsed="false">
      <c r="K305" s="91"/>
      <c r="M305" s="89"/>
      <c r="N305" s="90"/>
    </row>
    <row r="306" customFormat="false" ht="12.75" hidden="false" customHeight="false" outlineLevel="0" collapsed="false">
      <c r="K306" s="91"/>
      <c r="M306" s="89"/>
      <c r="N306" s="90"/>
    </row>
    <row r="307" customFormat="false" ht="12.75" hidden="false" customHeight="false" outlineLevel="0" collapsed="false">
      <c r="K307" s="91"/>
      <c r="M307" s="89"/>
      <c r="N307" s="90"/>
    </row>
    <row r="308" customFormat="false" ht="12.75" hidden="false" customHeight="false" outlineLevel="0" collapsed="false">
      <c r="K308" s="91"/>
      <c r="M308" s="89"/>
      <c r="N308" s="90"/>
    </row>
    <row r="309" customFormat="false" ht="12.75" hidden="false" customHeight="false" outlineLevel="0" collapsed="false">
      <c r="K309" s="91"/>
      <c r="M309" s="89"/>
      <c r="N309" s="90"/>
    </row>
    <row r="310" customFormat="false" ht="12.75" hidden="false" customHeight="false" outlineLevel="0" collapsed="false">
      <c r="K310" s="91"/>
      <c r="M310" s="89"/>
      <c r="N310" s="90"/>
    </row>
    <row r="311" customFormat="false" ht="12.75" hidden="false" customHeight="false" outlineLevel="0" collapsed="false">
      <c r="K311" s="91"/>
      <c r="M311" s="89"/>
      <c r="N311" s="90"/>
    </row>
    <row r="312" customFormat="false" ht="12.75" hidden="false" customHeight="false" outlineLevel="0" collapsed="false">
      <c r="K312" s="91"/>
      <c r="M312" s="89"/>
      <c r="N312" s="90"/>
    </row>
    <row r="313" customFormat="false" ht="12.75" hidden="false" customHeight="false" outlineLevel="0" collapsed="false">
      <c r="K313" s="91"/>
      <c r="M313" s="89"/>
      <c r="N313" s="90"/>
    </row>
    <row r="314" customFormat="false" ht="12.75" hidden="false" customHeight="false" outlineLevel="0" collapsed="false">
      <c r="K314" s="91"/>
      <c r="M314" s="89"/>
      <c r="N314" s="90"/>
    </row>
    <row r="315" customFormat="false" ht="12.75" hidden="false" customHeight="false" outlineLevel="0" collapsed="false">
      <c r="K315" s="91"/>
      <c r="M315" s="89"/>
      <c r="N315" s="90"/>
    </row>
    <row r="316" customFormat="false" ht="12.75" hidden="false" customHeight="false" outlineLevel="0" collapsed="false">
      <c r="K316" s="91"/>
      <c r="M316" s="89"/>
      <c r="N316" s="90"/>
    </row>
    <row r="317" customFormat="false" ht="12.75" hidden="false" customHeight="false" outlineLevel="0" collapsed="false">
      <c r="K317" s="91"/>
      <c r="M317" s="89"/>
      <c r="N317" s="90"/>
    </row>
    <row r="318" customFormat="false" ht="12.75" hidden="false" customHeight="false" outlineLevel="0" collapsed="false">
      <c r="K318" s="91"/>
      <c r="M318" s="89"/>
      <c r="N318" s="90"/>
    </row>
    <row r="319" customFormat="false" ht="12.75" hidden="false" customHeight="false" outlineLevel="0" collapsed="false">
      <c r="K319" s="91"/>
      <c r="M319" s="89"/>
      <c r="N319" s="90"/>
    </row>
    <row r="320" customFormat="false" ht="12.75" hidden="false" customHeight="false" outlineLevel="0" collapsed="false">
      <c r="K320" s="91"/>
      <c r="M320" s="89"/>
      <c r="N320" s="90"/>
    </row>
    <row r="321" customFormat="false" ht="12.75" hidden="false" customHeight="false" outlineLevel="0" collapsed="false">
      <c r="K321" s="91"/>
      <c r="M321" s="89"/>
      <c r="N321" s="90"/>
    </row>
    <row r="322" customFormat="false" ht="12.75" hidden="false" customHeight="false" outlineLevel="0" collapsed="false">
      <c r="K322" s="91"/>
      <c r="M322" s="89"/>
      <c r="N322" s="90"/>
    </row>
    <row r="323" customFormat="false" ht="12.75" hidden="false" customHeight="false" outlineLevel="0" collapsed="false">
      <c r="K323" s="91"/>
      <c r="M323" s="89"/>
      <c r="N323" s="90"/>
    </row>
    <row r="324" customFormat="false" ht="12.75" hidden="false" customHeight="false" outlineLevel="0" collapsed="false">
      <c r="K324" s="91"/>
      <c r="M324" s="89"/>
      <c r="N324" s="90"/>
    </row>
    <row r="325" customFormat="false" ht="12.75" hidden="false" customHeight="false" outlineLevel="0" collapsed="false">
      <c r="K325" s="91"/>
      <c r="M325" s="89"/>
      <c r="N325" s="90"/>
    </row>
    <row r="326" customFormat="false" ht="12.75" hidden="false" customHeight="false" outlineLevel="0" collapsed="false">
      <c r="K326" s="91"/>
      <c r="M326" s="89"/>
      <c r="N326" s="90"/>
    </row>
    <row r="327" customFormat="false" ht="12.75" hidden="false" customHeight="false" outlineLevel="0" collapsed="false">
      <c r="K327" s="91"/>
      <c r="M327" s="89"/>
      <c r="N327" s="90"/>
    </row>
    <row r="328" customFormat="false" ht="12.75" hidden="false" customHeight="false" outlineLevel="0" collapsed="false">
      <c r="K328" s="91"/>
      <c r="M328" s="89"/>
      <c r="N328" s="90"/>
    </row>
    <row r="329" customFormat="false" ht="12.75" hidden="false" customHeight="false" outlineLevel="0" collapsed="false">
      <c r="K329" s="91"/>
      <c r="M329" s="89"/>
      <c r="N329" s="90"/>
    </row>
    <row r="330" customFormat="false" ht="12.75" hidden="false" customHeight="false" outlineLevel="0" collapsed="false">
      <c r="K330" s="91"/>
      <c r="M330" s="89"/>
      <c r="N330" s="90"/>
    </row>
    <row r="331" customFormat="false" ht="12.75" hidden="false" customHeight="false" outlineLevel="0" collapsed="false">
      <c r="K331" s="91"/>
      <c r="M331" s="89"/>
      <c r="N331" s="90"/>
    </row>
    <row r="332" customFormat="false" ht="12.75" hidden="false" customHeight="false" outlineLevel="0" collapsed="false">
      <c r="K332" s="91"/>
      <c r="M332" s="89"/>
      <c r="N332" s="90"/>
    </row>
    <row r="333" customFormat="false" ht="12.75" hidden="false" customHeight="false" outlineLevel="0" collapsed="false">
      <c r="K333" s="91"/>
      <c r="M333" s="89"/>
      <c r="N333" s="90"/>
    </row>
    <row r="334" customFormat="false" ht="12.75" hidden="false" customHeight="false" outlineLevel="0" collapsed="false">
      <c r="K334" s="91"/>
      <c r="M334" s="89"/>
      <c r="N334" s="90"/>
    </row>
    <row r="335" customFormat="false" ht="12.75" hidden="false" customHeight="false" outlineLevel="0" collapsed="false">
      <c r="K335" s="91"/>
      <c r="M335" s="89"/>
      <c r="N335" s="90"/>
    </row>
    <row r="336" customFormat="false" ht="12.75" hidden="false" customHeight="false" outlineLevel="0" collapsed="false">
      <c r="K336" s="91"/>
      <c r="M336" s="89"/>
      <c r="N336" s="90"/>
    </row>
    <row r="337" customFormat="false" ht="12.75" hidden="false" customHeight="false" outlineLevel="0" collapsed="false">
      <c r="K337" s="91"/>
      <c r="M337" s="89"/>
      <c r="N337" s="90"/>
    </row>
    <row r="338" customFormat="false" ht="12.75" hidden="false" customHeight="false" outlineLevel="0" collapsed="false">
      <c r="K338" s="91"/>
      <c r="M338" s="89"/>
      <c r="N338" s="90"/>
    </row>
    <row r="339" customFormat="false" ht="12.75" hidden="false" customHeight="false" outlineLevel="0" collapsed="false">
      <c r="K339" s="91"/>
      <c r="M339" s="89"/>
      <c r="N339" s="90"/>
    </row>
    <row r="340" customFormat="false" ht="12.75" hidden="false" customHeight="false" outlineLevel="0" collapsed="false">
      <c r="K340" s="91"/>
      <c r="M340" s="89"/>
      <c r="N340" s="90"/>
    </row>
    <row r="341" customFormat="false" ht="12.75" hidden="false" customHeight="false" outlineLevel="0" collapsed="false">
      <c r="K341" s="91"/>
      <c r="M341" s="89"/>
      <c r="N341" s="90"/>
    </row>
    <row r="342" customFormat="false" ht="12.75" hidden="false" customHeight="false" outlineLevel="0" collapsed="false">
      <c r="K342" s="91"/>
      <c r="M342" s="89"/>
      <c r="N342" s="90"/>
    </row>
    <row r="343" customFormat="false" ht="12.75" hidden="false" customHeight="false" outlineLevel="0" collapsed="false">
      <c r="K343" s="91"/>
      <c r="M343" s="89"/>
      <c r="N343" s="90"/>
    </row>
    <row r="344" customFormat="false" ht="12.75" hidden="false" customHeight="false" outlineLevel="0" collapsed="false">
      <c r="K344" s="91"/>
      <c r="M344" s="89"/>
      <c r="N344" s="90"/>
    </row>
    <row r="345" customFormat="false" ht="12.75" hidden="false" customHeight="false" outlineLevel="0" collapsed="false">
      <c r="K345" s="91"/>
      <c r="M345" s="89"/>
      <c r="N345" s="90"/>
    </row>
    <row r="346" customFormat="false" ht="12.75" hidden="false" customHeight="false" outlineLevel="0" collapsed="false">
      <c r="K346" s="91"/>
      <c r="M346" s="89"/>
      <c r="N346" s="90"/>
    </row>
    <row r="347" customFormat="false" ht="12.75" hidden="false" customHeight="false" outlineLevel="0" collapsed="false">
      <c r="K347" s="91"/>
      <c r="M347" s="89"/>
      <c r="N347" s="90"/>
    </row>
    <row r="348" customFormat="false" ht="12.75" hidden="false" customHeight="false" outlineLevel="0" collapsed="false">
      <c r="K348" s="91"/>
      <c r="M348" s="89"/>
      <c r="N348" s="90"/>
    </row>
    <row r="349" customFormat="false" ht="12.75" hidden="false" customHeight="false" outlineLevel="0" collapsed="false">
      <c r="K349" s="91"/>
      <c r="M349" s="89"/>
      <c r="N349" s="90"/>
    </row>
    <row r="350" customFormat="false" ht="12.75" hidden="false" customHeight="false" outlineLevel="0" collapsed="false">
      <c r="K350" s="91"/>
      <c r="M350" s="89"/>
      <c r="N350" s="90"/>
    </row>
    <row r="351" customFormat="false" ht="12.75" hidden="false" customHeight="false" outlineLevel="0" collapsed="false">
      <c r="K351" s="91"/>
      <c r="M351" s="89"/>
      <c r="N351" s="90"/>
    </row>
    <row r="352" customFormat="false" ht="12.75" hidden="false" customHeight="false" outlineLevel="0" collapsed="false">
      <c r="K352" s="91"/>
      <c r="M352" s="89"/>
      <c r="N352" s="90"/>
    </row>
    <row r="353" customFormat="false" ht="12.75" hidden="false" customHeight="false" outlineLevel="0" collapsed="false">
      <c r="K353" s="91"/>
      <c r="M353" s="89"/>
      <c r="N353" s="90"/>
    </row>
    <row r="354" customFormat="false" ht="12.75" hidden="false" customHeight="false" outlineLevel="0" collapsed="false">
      <c r="K354" s="91"/>
      <c r="M354" s="89"/>
      <c r="N354" s="90"/>
    </row>
    <row r="355" customFormat="false" ht="12.75" hidden="false" customHeight="false" outlineLevel="0" collapsed="false">
      <c r="K355" s="91"/>
      <c r="M355" s="89"/>
      <c r="N355" s="90"/>
    </row>
    <row r="356" customFormat="false" ht="12.75" hidden="false" customHeight="false" outlineLevel="0" collapsed="false">
      <c r="K356" s="91"/>
      <c r="M356" s="89"/>
      <c r="N356" s="90"/>
    </row>
    <row r="357" customFormat="false" ht="12.75" hidden="false" customHeight="false" outlineLevel="0" collapsed="false">
      <c r="K357" s="91"/>
      <c r="M357" s="89"/>
      <c r="N357" s="90"/>
    </row>
    <row r="358" customFormat="false" ht="12.75" hidden="false" customHeight="false" outlineLevel="0" collapsed="false">
      <c r="K358" s="91"/>
      <c r="M358" s="89"/>
      <c r="N358" s="90"/>
    </row>
    <row r="359" customFormat="false" ht="12.75" hidden="false" customHeight="false" outlineLevel="0" collapsed="false">
      <c r="K359" s="91"/>
      <c r="M359" s="89"/>
      <c r="N359" s="90"/>
    </row>
    <row r="360" customFormat="false" ht="12.75" hidden="false" customHeight="false" outlineLevel="0" collapsed="false">
      <c r="K360" s="91"/>
      <c r="M360" s="89"/>
      <c r="N360" s="90"/>
    </row>
    <row r="361" customFormat="false" ht="12.75" hidden="false" customHeight="false" outlineLevel="0" collapsed="false">
      <c r="K361" s="91"/>
      <c r="M361" s="89"/>
      <c r="N361" s="90"/>
    </row>
    <row r="362" customFormat="false" ht="12.75" hidden="false" customHeight="false" outlineLevel="0" collapsed="false">
      <c r="K362" s="91"/>
      <c r="M362" s="89"/>
      <c r="N362" s="90"/>
    </row>
    <row r="363" customFormat="false" ht="12.75" hidden="false" customHeight="false" outlineLevel="0" collapsed="false">
      <c r="K363" s="91"/>
      <c r="M363" s="89"/>
      <c r="N363" s="90"/>
    </row>
    <row r="364" customFormat="false" ht="12.75" hidden="false" customHeight="false" outlineLevel="0" collapsed="false">
      <c r="K364" s="91"/>
      <c r="M364" s="89"/>
      <c r="N364" s="90"/>
    </row>
    <row r="365" customFormat="false" ht="12.75" hidden="false" customHeight="false" outlineLevel="0" collapsed="false">
      <c r="K365" s="91"/>
      <c r="M365" s="89"/>
      <c r="N365" s="90"/>
    </row>
    <row r="366" customFormat="false" ht="12.75" hidden="false" customHeight="false" outlineLevel="0" collapsed="false">
      <c r="K366" s="91"/>
      <c r="M366" s="89"/>
      <c r="N366" s="90"/>
    </row>
    <row r="367" customFormat="false" ht="12.75" hidden="false" customHeight="false" outlineLevel="0" collapsed="false">
      <c r="K367" s="91"/>
      <c r="M367" s="89"/>
      <c r="N367" s="90"/>
    </row>
    <row r="368" customFormat="false" ht="12.75" hidden="false" customHeight="false" outlineLevel="0" collapsed="false">
      <c r="K368" s="91"/>
      <c r="M368" s="89"/>
      <c r="N368" s="90"/>
    </row>
    <row r="369" customFormat="false" ht="12.75" hidden="false" customHeight="false" outlineLevel="0" collapsed="false">
      <c r="K369" s="91"/>
      <c r="M369" s="89"/>
      <c r="N369" s="90"/>
    </row>
    <row r="370" customFormat="false" ht="12.75" hidden="false" customHeight="false" outlineLevel="0" collapsed="false">
      <c r="K370" s="91"/>
      <c r="M370" s="89"/>
      <c r="N370" s="90"/>
    </row>
    <row r="371" customFormat="false" ht="12.75" hidden="false" customHeight="false" outlineLevel="0" collapsed="false">
      <c r="K371" s="91"/>
      <c r="M371" s="89"/>
      <c r="N371" s="90"/>
    </row>
    <row r="372" customFormat="false" ht="12.75" hidden="false" customHeight="false" outlineLevel="0" collapsed="false">
      <c r="K372" s="91"/>
      <c r="M372" s="89"/>
      <c r="N372" s="90"/>
    </row>
    <row r="373" customFormat="false" ht="12.75" hidden="false" customHeight="false" outlineLevel="0" collapsed="false">
      <c r="K373" s="91"/>
      <c r="M373" s="89"/>
      <c r="N373" s="90"/>
    </row>
    <row r="374" customFormat="false" ht="12.75" hidden="false" customHeight="false" outlineLevel="0" collapsed="false">
      <c r="K374" s="91"/>
      <c r="M374" s="89"/>
      <c r="N374" s="90"/>
    </row>
    <row r="375" customFormat="false" ht="12.75" hidden="false" customHeight="false" outlineLevel="0" collapsed="false">
      <c r="K375" s="92"/>
      <c r="M375" s="93"/>
      <c r="N375" s="94"/>
    </row>
    <row r="376" customFormat="false" ht="12.75" hidden="false" customHeight="false" outlineLevel="0" collapsed="false">
      <c r="K376" s="92"/>
      <c r="M376" s="93"/>
      <c r="N376" s="94"/>
    </row>
    <row r="377" customFormat="false" ht="12.75" hidden="false" customHeight="false" outlineLevel="0" collapsed="false">
      <c r="K377" s="92"/>
      <c r="M377" s="93"/>
      <c r="N377" s="94"/>
    </row>
    <row r="378" customFormat="false" ht="12.75" hidden="false" customHeight="false" outlineLevel="0" collapsed="false">
      <c r="K378" s="92"/>
      <c r="M378" s="93"/>
      <c r="N378" s="94"/>
    </row>
    <row r="379" customFormat="false" ht="12.75" hidden="false" customHeight="false" outlineLevel="0" collapsed="false">
      <c r="K379" s="92"/>
      <c r="M379" s="93"/>
      <c r="N379" s="94"/>
    </row>
    <row r="380" customFormat="false" ht="12.75" hidden="false" customHeight="false" outlineLevel="0" collapsed="false">
      <c r="K380" s="92"/>
      <c r="M380" s="93"/>
      <c r="N380" s="94"/>
    </row>
    <row r="381" customFormat="false" ht="12.75" hidden="false" customHeight="false" outlineLevel="0" collapsed="false">
      <c r="K381" s="92"/>
      <c r="M381" s="93"/>
      <c r="N381" s="94"/>
    </row>
    <row r="382" customFormat="false" ht="12.75" hidden="false" customHeight="false" outlineLevel="0" collapsed="false">
      <c r="K382" s="92"/>
      <c r="M382" s="93"/>
      <c r="N382" s="94"/>
    </row>
    <row r="383" customFormat="false" ht="12.75" hidden="false" customHeight="false" outlineLevel="0" collapsed="false">
      <c r="K383" s="92"/>
      <c r="M383" s="93"/>
      <c r="N383" s="94"/>
    </row>
    <row r="384" customFormat="false" ht="12.75" hidden="false" customHeight="false" outlineLevel="0" collapsed="false">
      <c r="K384" s="92"/>
      <c r="M384" s="93"/>
      <c r="N384" s="94"/>
    </row>
    <row r="385" customFormat="false" ht="12.75" hidden="false" customHeight="false" outlineLevel="0" collapsed="false">
      <c r="K385" s="92"/>
      <c r="M385" s="93"/>
      <c r="N385" s="94"/>
    </row>
    <row r="386" customFormat="false" ht="12.75" hidden="false" customHeight="false" outlineLevel="0" collapsed="false">
      <c r="K386" s="92"/>
      <c r="M386" s="93"/>
      <c r="N386" s="94"/>
    </row>
    <row r="387" customFormat="false" ht="12.75" hidden="false" customHeight="false" outlineLevel="0" collapsed="false">
      <c r="K387" s="92"/>
      <c r="M387" s="93"/>
      <c r="N387" s="94"/>
    </row>
    <row r="388" customFormat="false" ht="12.75" hidden="false" customHeight="false" outlineLevel="0" collapsed="false">
      <c r="K388" s="92"/>
      <c r="M388" s="93"/>
      <c r="N388" s="94"/>
    </row>
    <row r="389" customFormat="false" ht="12.75" hidden="false" customHeight="false" outlineLevel="0" collapsed="false">
      <c r="K389" s="92"/>
      <c r="M389" s="93"/>
      <c r="N389" s="94"/>
    </row>
    <row r="390" customFormat="false" ht="12.75" hidden="false" customHeight="false" outlineLevel="0" collapsed="false">
      <c r="K390" s="92"/>
      <c r="M390" s="93"/>
      <c r="N390" s="94"/>
    </row>
    <row r="391" customFormat="false" ht="12.75" hidden="false" customHeight="false" outlineLevel="0" collapsed="false">
      <c r="K391" s="92"/>
      <c r="M391" s="93"/>
      <c r="N391" s="94"/>
    </row>
    <row r="392" customFormat="false" ht="12.75" hidden="false" customHeight="false" outlineLevel="0" collapsed="false">
      <c r="K392" s="92"/>
      <c r="M392" s="93"/>
      <c r="N392" s="94"/>
    </row>
    <row r="393" customFormat="false" ht="12.75" hidden="false" customHeight="false" outlineLevel="0" collapsed="false">
      <c r="K393" s="92"/>
      <c r="M393" s="93"/>
      <c r="N393" s="94"/>
    </row>
    <row r="394" customFormat="false" ht="12.75" hidden="false" customHeight="false" outlineLevel="0" collapsed="false">
      <c r="K394" s="92"/>
      <c r="M394" s="93"/>
      <c r="N394" s="94"/>
    </row>
    <row r="395" customFormat="false" ht="12.75" hidden="false" customHeight="false" outlineLevel="0" collapsed="false">
      <c r="K395" s="92"/>
      <c r="M395" s="93"/>
      <c r="N395" s="94"/>
    </row>
    <row r="396" customFormat="false" ht="12.75" hidden="false" customHeight="false" outlineLevel="0" collapsed="false">
      <c r="K396" s="92"/>
      <c r="M396" s="93"/>
      <c r="N396" s="94"/>
    </row>
    <row r="397" customFormat="false" ht="12.75" hidden="false" customHeight="false" outlineLevel="0" collapsed="false">
      <c r="K397" s="92"/>
      <c r="M397" s="93"/>
      <c r="N397" s="94"/>
    </row>
    <row r="398" customFormat="false" ht="12.75" hidden="false" customHeight="false" outlineLevel="0" collapsed="false">
      <c r="K398" s="92"/>
      <c r="M398" s="93"/>
      <c r="N398" s="94"/>
    </row>
    <row r="399" customFormat="false" ht="12.75" hidden="false" customHeight="false" outlineLevel="0" collapsed="false">
      <c r="K399" s="92"/>
      <c r="M399" s="93"/>
      <c r="N399" s="94"/>
    </row>
    <row r="400" customFormat="false" ht="12.75" hidden="false" customHeight="false" outlineLevel="0" collapsed="false">
      <c r="K400" s="92"/>
      <c r="M400" s="93"/>
      <c r="N400" s="94"/>
    </row>
    <row r="401" customFormat="false" ht="12.75" hidden="false" customHeight="false" outlineLevel="0" collapsed="false">
      <c r="K401" s="92"/>
      <c r="M401" s="93"/>
      <c r="N401" s="94"/>
    </row>
    <row r="402" customFormat="false" ht="12.75" hidden="false" customHeight="false" outlineLevel="0" collapsed="false">
      <c r="K402" s="92"/>
      <c r="M402" s="93"/>
      <c r="N402" s="94"/>
    </row>
    <row r="403" customFormat="false" ht="12.75" hidden="false" customHeight="false" outlineLevel="0" collapsed="false">
      <c r="K403" s="92"/>
      <c r="M403" s="93"/>
      <c r="N403" s="94"/>
    </row>
    <row r="404" customFormat="false" ht="12.75" hidden="false" customHeight="false" outlineLevel="0" collapsed="false">
      <c r="K404" s="92"/>
      <c r="M404" s="93"/>
      <c r="N404" s="94"/>
    </row>
    <row r="405" customFormat="false" ht="12.75" hidden="false" customHeight="false" outlineLevel="0" collapsed="false">
      <c r="K405" s="92"/>
      <c r="M405" s="93"/>
      <c r="N405" s="94"/>
    </row>
    <row r="406" customFormat="false" ht="12.75" hidden="false" customHeight="false" outlineLevel="0" collapsed="false">
      <c r="K406" s="92"/>
      <c r="M406" s="93"/>
      <c r="N406" s="94"/>
    </row>
    <row r="407" customFormat="false" ht="12.75" hidden="false" customHeight="false" outlineLevel="0" collapsed="false">
      <c r="K407" s="92"/>
      <c r="M407" s="93"/>
      <c r="N407" s="94"/>
    </row>
    <row r="408" customFormat="false" ht="12.75" hidden="false" customHeight="false" outlineLevel="0" collapsed="false">
      <c r="K408" s="92"/>
      <c r="M408" s="93"/>
      <c r="N408" s="94"/>
    </row>
    <row r="409" customFormat="false" ht="12.75" hidden="false" customHeight="false" outlineLevel="0" collapsed="false">
      <c r="K409" s="92"/>
      <c r="M409" s="93"/>
      <c r="N409" s="94"/>
    </row>
    <row r="410" customFormat="false" ht="12.75" hidden="false" customHeight="false" outlineLevel="0" collapsed="false">
      <c r="K410" s="92"/>
      <c r="M410" s="93"/>
      <c r="N410" s="94"/>
    </row>
    <row r="411" customFormat="false" ht="12.75" hidden="false" customHeight="false" outlineLevel="0" collapsed="false">
      <c r="K411" s="92"/>
      <c r="M411" s="93"/>
      <c r="N411" s="94"/>
    </row>
    <row r="412" customFormat="false" ht="12.75" hidden="false" customHeight="false" outlineLevel="0" collapsed="false">
      <c r="K412" s="92"/>
      <c r="M412" s="93"/>
      <c r="N412" s="94"/>
    </row>
    <row r="413" customFormat="false" ht="12.75" hidden="false" customHeight="false" outlineLevel="0" collapsed="false">
      <c r="K413" s="92"/>
      <c r="M413" s="93"/>
      <c r="N413" s="94"/>
    </row>
    <row r="414" customFormat="false" ht="12.75" hidden="false" customHeight="false" outlineLevel="0" collapsed="false">
      <c r="K414" s="92"/>
      <c r="M414" s="93"/>
      <c r="N414" s="94"/>
    </row>
    <row r="415" customFormat="false" ht="12.75" hidden="false" customHeight="false" outlineLevel="0" collapsed="false">
      <c r="K415" s="92"/>
      <c r="M415" s="93"/>
      <c r="N415" s="94"/>
    </row>
    <row r="416" customFormat="false" ht="12.75" hidden="false" customHeight="false" outlineLevel="0" collapsed="false">
      <c r="K416" s="92"/>
      <c r="M416" s="93"/>
      <c r="N416" s="94"/>
    </row>
    <row r="417" customFormat="false" ht="12.75" hidden="false" customHeight="false" outlineLevel="0" collapsed="false">
      <c r="K417" s="92"/>
      <c r="M417" s="93"/>
      <c r="N417" s="94"/>
    </row>
    <row r="418" customFormat="false" ht="12.75" hidden="false" customHeight="false" outlineLevel="0" collapsed="false">
      <c r="K418" s="92"/>
      <c r="M418" s="93"/>
      <c r="N418" s="94"/>
    </row>
    <row r="419" customFormat="false" ht="12.75" hidden="false" customHeight="false" outlineLevel="0" collapsed="false">
      <c r="K419" s="92"/>
      <c r="M419" s="93"/>
      <c r="N419" s="94"/>
    </row>
    <row r="420" customFormat="false" ht="12.75" hidden="false" customHeight="false" outlineLevel="0" collapsed="false">
      <c r="K420" s="92"/>
      <c r="M420" s="93"/>
      <c r="N420" s="94"/>
    </row>
    <row r="421" customFormat="false" ht="12.75" hidden="false" customHeight="false" outlineLevel="0" collapsed="false">
      <c r="K421" s="92"/>
      <c r="M421" s="93"/>
      <c r="N421" s="94"/>
    </row>
    <row r="422" customFormat="false" ht="12.75" hidden="false" customHeight="false" outlineLevel="0" collapsed="false">
      <c r="K422" s="92"/>
      <c r="M422" s="93"/>
      <c r="N422" s="94"/>
    </row>
    <row r="423" customFormat="false" ht="12.75" hidden="false" customHeight="false" outlineLevel="0" collapsed="false">
      <c r="K423" s="92"/>
      <c r="M423" s="93"/>
      <c r="N423" s="94"/>
    </row>
    <row r="424" customFormat="false" ht="12.75" hidden="false" customHeight="false" outlineLevel="0" collapsed="false">
      <c r="K424" s="92"/>
      <c r="M424" s="93"/>
      <c r="N424" s="94"/>
    </row>
    <row r="425" customFormat="false" ht="12.75" hidden="false" customHeight="false" outlineLevel="0" collapsed="false">
      <c r="K425" s="92"/>
      <c r="M425" s="93"/>
      <c r="N425" s="94"/>
    </row>
    <row r="426" customFormat="false" ht="12.75" hidden="false" customHeight="false" outlineLevel="0" collapsed="false">
      <c r="K426" s="92"/>
      <c r="M426" s="93"/>
      <c r="N426" s="94"/>
    </row>
    <row r="427" customFormat="false" ht="12.75" hidden="false" customHeight="false" outlineLevel="0" collapsed="false">
      <c r="K427" s="92"/>
      <c r="M427" s="93"/>
      <c r="N427" s="94"/>
    </row>
    <row r="428" customFormat="false" ht="12.75" hidden="false" customHeight="false" outlineLevel="0" collapsed="false">
      <c r="K428" s="92"/>
      <c r="M428" s="93"/>
      <c r="N428" s="94"/>
    </row>
    <row r="429" customFormat="false" ht="12.75" hidden="false" customHeight="false" outlineLevel="0" collapsed="false">
      <c r="K429" s="92"/>
      <c r="M429" s="93"/>
      <c r="N429" s="94"/>
    </row>
    <row r="430" customFormat="false" ht="12.75" hidden="false" customHeight="false" outlineLevel="0" collapsed="false">
      <c r="K430" s="92"/>
      <c r="M430" s="93"/>
      <c r="N430" s="94"/>
    </row>
    <row r="431" customFormat="false" ht="12.75" hidden="false" customHeight="false" outlineLevel="0" collapsed="false">
      <c r="K431" s="92"/>
      <c r="M431" s="93"/>
      <c r="N431" s="94"/>
    </row>
    <row r="432" customFormat="false" ht="12.75" hidden="false" customHeight="false" outlineLevel="0" collapsed="false">
      <c r="K432" s="92"/>
      <c r="M432" s="93"/>
      <c r="N432" s="94"/>
    </row>
    <row r="433" customFormat="false" ht="12.75" hidden="false" customHeight="false" outlineLevel="0" collapsed="false">
      <c r="K433" s="92"/>
      <c r="M433" s="93"/>
      <c r="N433" s="94"/>
    </row>
    <row r="434" customFormat="false" ht="12.75" hidden="false" customHeight="false" outlineLevel="0" collapsed="false">
      <c r="K434" s="92"/>
      <c r="M434" s="93"/>
      <c r="N434" s="94"/>
    </row>
    <row r="435" customFormat="false" ht="12.75" hidden="false" customHeight="false" outlineLevel="0" collapsed="false">
      <c r="K435" s="92"/>
      <c r="M435" s="93"/>
      <c r="N435" s="94"/>
    </row>
    <row r="436" customFormat="false" ht="12.75" hidden="false" customHeight="false" outlineLevel="0" collapsed="false">
      <c r="K436" s="92"/>
      <c r="M436" s="93"/>
      <c r="N436" s="94"/>
    </row>
    <row r="437" customFormat="false" ht="12.75" hidden="false" customHeight="false" outlineLevel="0" collapsed="false">
      <c r="K437" s="92"/>
      <c r="M437" s="93"/>
      <c r="N437" s="94"/>
    </row>
    <row r="438" customFormat="false" ht="12.75" hidden="false" customHeight="false" outlineLevel="0" collapsed="false">
      <c r="K438" s="92"/>
      <c r="M438" s="93"/>
      <c r="N438" s="94"/>
    </row>
    <row r="439" customFormat="false" ht="12.75" hidden="false" customHeight="false" outlineLevel="0" collapsed="false">
      <c r="K439" s="92"/>
      <c r="M439" s="93"/>
      <c r="N439" s="94"/>
    </row>
    <row r="440" customFormat="false" ht="12.75" hidden="false" customHeight="false" outlineLevel="0" collapsed="false">
      <c r="K440" s="92"/>
      <c r="M440" s="93"/>
      <c r="N440" s="94"/>
    </row>
    <row r="441" customFormat="false" ht="12.75" hidden="false" customHeight="false" outlineLevel="0" collapsed="false">
      <c r="K441" s="92"/>
      <c r="M441" s="93"/>
      <c r="N441" s="94"/>
    </row>
    <row r="442" customFormat="false" ht="12.75" hidden="false" customHeight="false" outlineLevel="0" collapsed="false">
      <c r="K442" s="92"/>
      <c r="M442" s="93"/>
      <c r="N442" s="94"/>
    </row>
    <row r="443" customFormat="false" ht="12.75" hidden="false" customHeight="false" outlineLevel="0" collapsed="false">
      <c r="K443" s="92"/>
      <c r="M443" s="93"/>
      <c r="N443" s="94"/>
    </row>
    <row r="444" customFormat="false" ht="12.75" hidden="false" customHeight="false" outlineLevel="0" collapsed="false">
      <c r="K444" s="92"/>
      <c r="M444" s="93"/>
      <c r="N444" s="94"/>
    </row>
    <row r="445" customFormat="false" ht="12.75" hidden="false" customHeight="false" outlineLevel="0" collapsed="false">
      <c r="K445" s="92"/>
      <c r="M445" s="93"/>
      <c r="N445" s="94"/>
    </row>
    <row r="446" customFormat="false" ht="12.75" hidden="false" customHeight="false" outlineLevel="0" collapsed="false">
      <c r="K446" s="92"/>
      <c r="M446" s="93"/>
      <c r="N446" s="94"/>
    </row>
    <row r="447" customFormat="false" ht="12.75" hidden="false" customHeight="false" outlineLevel="0" collapsed="false">
      <c r="K447" s="92"/>
      <c r="M447" s="93"/>
      <c r="N447" s="94"/>
    </row>
    <row r="448" customFormat="false" ht="12.75" hidden="false" customHeight="false" outlineLevel="0" collapsed="false">
      <c r="K448" s="92"/>
      <c r="M448" s="93"/>
      <c r="N448" s="94"/>
    </row>
    <row r="449" customFormat="false" ht="12.75" hidden="false" customHeight="false" outlineLevel="0" collapsed="false">
      <c r="K449" s="92"/>
      <c r="M449" s="93"/>
      <c r="N449" s="94"/>
    </row>
    <row r="450" customFormat="false" ht="12.75" hidden="false" customHeight="false" outlineLevel="0" collapsed="false">
      <c r="K450" s="92"/>
      <c r="M450" s="93"/>
      <c r="N450" s="94"/>
    </row>
    <row r="451" customFormat="false" ht="12.75" hidden="false" customHeight="false" outlineLevel="0" collapsed="false">
      <c r="K451" s="92"/>
      <c r="M451" s="93"/>
      <c r="N451" s="94"/>
    </row>
    <row r="452" customFormat="false" ht="12.75" hidden="false" customHeight="false" outlineLevel="0" collapsed="false">
      <c r="K452" s="92"/>
      <c r="M452" s="93"/>
      <c r="N452" s="94"/>
    </row>
    <row r="453" customFormat="false" ht="12.75" hidden="false" customHeight="false" outlineLevel="0" collapsed="false">
      <c r="K453" s="92"/>
      <c r="M453" s="93"/>
      <c r="N453" s="94"/>
    </row>
    <row r="454" customFormat="false" ht="12.75" hidden="false" customHeight="false" outlineLevel="0" collapsed="false">
      <c r="K454" s="92"/>
      <c r="M454" s="93"/>
      <c r="N454" s="94"/>
    </row>
    <row r="455" customFormat="false" ht="12.75" hidden="false" customHeight="false" outlineLevel="0" collapsed="false">
      <c r="K455" s="92"/>
      <c r="M455" s="93"/>
      <c r="N455" s="94"/>
    </row>
    <row r="456" customFormat="false" ht="12.75" hidden="false" customHeight="false" outlineLevel="0" collapsed="false">
      <c r="K456" s="92"/>
      <c r="M456" s="93"/>
      <c r="N456" s="94"/>
    </row>
    <row r="457" customFormat="false" ht="12.75" hidden="false" customHeight="false" outlineLevel="0" collapsed="false">
      <c r="K457" s="92"/>
      <c r="M457" s="93"/>
      <c r="N457" s="94"/>
    </row>
    <row r="458" customFormat="false" ht="12.75" hidden="false" customHeight="false" outlineLevel="0" collapsed="false">
      <c r="K458" s="92"/>
      <c r="M458" s="93"/>
      <c r="N458" s="94"/>
    </row>
    <row r="459" customFormat="false" ht="12.75" hidden="false" customHeight="false" outlineLevel="0" collapsed="false">
      <c r="K459" s="92"/>
      <c r="M459" s="93"/>
      <c r="N459" s="94"/>
    </row>
    <row r="460" customFormat="false" ht="12.75" hidden="false" customHeight="false" outlineLevel="0" collapsed="false">
      <c r="K460" s="92"/>
      <c r="M460" s="93"/>
      <c r="N460" s="94"/>
    </row>
    <row r="461" customFormat="false" ht="12.75" hidden="false" customHeight="false" outlineLevel="0" collapsed="false">
      <c r="K461" s="92"/>
      <c r="M461" s="93"/>
      <c r="N461" s="94"/>
    </row>
    <row r="462" customFormat="false" ht="12.75" hidden="false" customHeight="false" outlineLevel="0" collapsed="false">
      <c r="K462" s="92"/>
      <c r="M462" s="93"/>
      <c r="N462" s="94"/>
    </row>
    <row r="463" customFormat="false" ht="12.75" hidden="false" customHeight="false" outlineLevel="0" collapsed="false">
      <c r="K463" s="92"/>
      <c r="M463" s="93"/>
      <c r="N463" s="94"/>
    </row>
    <row r="464" customFormat="false" ht="12.75" hidden="false" customHeight="false" outlineLevel="0" collapsed="false">
      <c r="K464" s="92"/>
      <c r="M464" s="93"/>
      <c r="N464" s="94"/>
    </row>
    <row r="465" customFormat="false" ht="12.75" hidden="false" customHeight="false" outlineLevel="0" collapsed="false">
      <c r="K465" s="92"/>
      <c r="M465" s="93"/>
      <c r="N465" s="94"/>
    </row>
    <row r="466" customFormat="false" ht="12.75" hidden="false" customHeight="false" outlineLevel="0" collapsed="false">
      <c r="K466" s="92"/>
      <c r="M466" s="93"/>
      <c r="N466" s="94"/>
    </row>
    <row r="467" customFormat="false" ht="12.75" hidden="false" customHeight="false" outlineLevel="0" collapsed="false">
      <c r="K467" s="92"/>
      <c r="M467" s="93"/>
      <c r="N467" s="94"/>
    </row>
    <row r="468" customFormat="false" ht="12.75" hidden="false" customHeight="false" outlineLevel="0" collapsed="false">
      <c r="K468" s="92"/>
      <c r="M468" s="93"/>
      <c r="N468" s="94"/>
    </row>
    <row r="469" customFormat="false" ht="12.75" hidden="false" customHeight="false" outlineLevel="0" collapsed="false">
      <c r="K469" s="92"/>
      <c r="M469" s="93"/>
      <c r="N469" s="94"/>
    </row>
    <row r="470" customFormat="false" ht="12.75" hidden="false" customHeight="false" outlineLevel="0" collapsed="false">
      <c r="K470" s="92"/>
      <c r="M470" s="93"/>
      <c r="N470" s="94"/>
    </row>
    <row r="471" customFormat="false" ht="12.75" hidden="false" customHeight="false" outlineLevel="0" collapsed="false">
      <c r="K471" s="92"/>
      <c r="M471" s="93"/>
      <c r="N471" s="94"/>
    </row>
    <row r="472" customFormat="false" ht="12.75" hidden="false" customHeight="false" outlineLevel="0" collapsed="false">
      <c r="K472" s="92"/>
      <c r="M472" s="93"/>
      <c r="N472" s="94"/>
    </row>
    <row r="473" customFormat="false" ht="12.75" hidden="false" customHeight="false" outlineLevel="0" collapsed="false">
      <c r="K473" s="92"/>
      <c r="M473" s="93"/>
      <c r="N473" s="94"/>
    </row>
    <row r="474" customFormat="false" ht="12.75" hidden="false" customHeight="false" outlineLevel="0" collapsed="false">
      <c r="K474" s="92"/>
      <c r="M474" s="93"/>
      <c r="N474" s="94"/>
    </row>
    <row r="475" customFormat="false" ht="12.75" hidden="false" customHeight="false" outlineLevel="0" collapsed="false">
      <c r="K475" s="92"/>
      <c r="M475" s="93"/>
      <c r="N475" s="94"/>
    </row>
    <row r="476" customFormat="false" ht="12.75" hidden="false" customHeight="false" outlineLevel="0" collapsed="false">
      <c r="K476" s="92"/>
      <c r="M476" s="93"/>
      <c r="N476" s="94"/>
    </row>
    <row r="477" customFormat="false" ht="12.75" hidden="false" customHeight="false" outlineLevel="0" collapsed="false">
      <c r="K477" s="92"/>
      <c r="M477" s="93"/>
      <c r="N477" s="94"/>
    </row>
    <row r="478" customFormat="false" ht="12.75" hidden="false" customHeight="false" outlineLevel="0" collapsed="false">
      <c r="K478" s="92"/>
      <c r="M478" s="93"/>
      <c r="N478" s="94"/>
    </row>
    <row r="479" customFormat="false" ht="12.75" hidden="false" customHeight="false" outlineLevel="0" collapsed="false">
      <c r="K479" s="92"/>
      <c r="M479" s="93"/>
      <c r="N479" s="94"/>
    </row>
    <row r="480" customFormat="false" ht="12.75" hidden="false" customHeight="false" outlineLevel="0" collapsed="false">
      <c r="K480" s="92"/>
      <c r="M480" s="93"/>
      <c r="N480" s="94"/>
    </row>
    <row r="481" customFormat="false" ht="12.75" hidden="false" customHeight="false" outlineLevel="0" collapsed="false">
      <c r="K481" s="92"/>
      <c r="M481" s="93"/>
      <c r="N481" s="94"/>
    </row>
    <row r="482" customFormat="false" ht="12.75" hidden="false" customHeight="false" outlineLevel="0" collapsed="false">
      <c r="K482" s="92"/>
      <c r="M482" s="93"/>
      <c r="N482" s="94"/>
    </row>
    <row r="483" customFormat="false" ht="12.75" hidden="false" customHeight="false" outlineLevel="0" collapsed="false">
      <c r="K483" s="92"/>
      <c r="M483" s="93"/>
      <c r="N483" s="94"/>
    </row>
    <row r="484" customFormat="false" ht="12.75" hidden="false" customHeight="false" outlineLevel="0" collapsed="false">
      <c r="K484" s="92"/>
      <c r="M484" s="93"/>
      <c r="N484" s="94"/>
    </row>
    <row r="485" customFormat="false" ht="12.75" hidden="false" customHeight="false" outlineLevel="0" collapsed="false">
      <c r="K485" s="92"/>
      <c r="M485" s="93"/>
      <c r="N485" s="94"/>
    </row>
    <row r="486" customFormat="false" ht="12.75" hidden="false" customHeight="false" outlineLevel="0" collapsed="false">
      <c r="K486" s="92"/>
      <c r="M486" s="93"/>
      <c r="N486" s="94"/>
    </row>
    <row r="487" customFormat="false" ht="12.75" hidden="false" customHeight="false" outlineLevel="0" collapsed="false">
      <c r="K487" s="92"/>
      <c r="M487" s="93"/>
      <c r="N487" s="94"/>
    </row>
    <row r="488" customFormat="false" ht="12.75" hidden="false" customHeight="false" outlineLevel="0" collapsed="false">
      <c r="K488" s="92"/>
      <c r="M488" s="93"/>
      <c r="N488" s="94"/>
    </row>
    <row r="489" customFormat="false" ht="12.75" hidden="false" customHeight="false" outlineLevel="0" collapsed="false">
      <c r="K489" s="92"/>
      <c r="M489" s="93"/>
      <c r="N489" s="94"/>
    </row>
    <row r="490" customFormat="false" ht="12.75" hidden="false" customHeight="false" outlineLevel="0" collapsed="false">
      <c r="K490" s="92"/>
      <c r="M490" s="93"/>
      <c r="N490" s="94"/>
    </row>
    <row r="491" customFormat="false" ht="12.75" hidden="false" customHeight="false" outlineLevel="0" collapsed="false">
      <c r="K491" s="92"/>
      <c r="M491" s="93"/>
      <c r="N491" s="94"/>
    </row>
    <row r="492" customFormat="false" ht="12.75" hidden="false" customHeight="false" outlineLevel="0" collapsed="false">
      <c r="K492" s="92"/>
      <c r="M492" s="93"/>
      <c r="N492" s="94"/>
    </row>
    <row r="493" customFormat="false" ht="12.75" hidden="false" customHeight="false" outlineLevel="0" collapsed="false">
      <c r="K493" s="92"/>
      <c r="M493" s="93"/>
      <c r="N493" s="94"/>
    </row>
    <row r="494" customFormat="false" ht="12.75" hidden="false" customHeight="false" outlineLevel="0" collapsed="false">
      <c r="K494" s="92"/>
      <c r="M494" s="93"/>
      <c r="N494" s="94"/>
    </row>
    <row r="495" customFormat="false" ht="12.75" hidden="false" customHeight="false" outlineLevel="0" collapsed="false">
      <c r="K495" s="92"/>
      <c r="M495" s="93"/>
      <c r="N495" s="94"/>
    </row>
    <row r="496" customFormat="false" ht="12.75" hidden="false" customHeight="false" outlineLevel="0" collapsed="false">
      <c r="K496" s="92"/>
      <c r="M496" s="93"/>
      <c r="N496" s="94"/>
    </row>
    <row r="497" customFormat="false" ht="12.75" hidden="false" customHeight="false" outlineLevel="0" collapsed="false">
      <c r="K497" s="92"/>
      <c r="M497" s="93"/>
      <c r="N497" s="94"/>
    </row>
    <row r="498" customFormat="false" ht="12.75" hidden="false" customHeight="false" outlineLevel="0" collapsed="false">
      <c r="K498" s="92"/>
      <c r="M498" s="93"/>
      <c r="N498" s="94"/>
    </row>
    <row r="499" customFormat="false" ht="12.75" hidden="false" customHeight="false" outlineLevel="0" collapsed="false">
      <c r="K499" s="92"/>
      <c r="M499" s="93"/>
      <c r="N499" s="94"/>
    </row>
    <row r="500" customFormat="false" ht="12.75" hidden="false" customHeight="false" outlineLevel="0" collapsed="false">
      <c r="K500" s="92"/>
      <c r="M500" s="93"/>
      <c r="N500" s="94"/>
    </row>
    <row r="501" customFormat="false" ht="12.75" hidden="false" customHeight="false" outlineLevel="0" collapsed="false">
      <c r="K501" s="92"/>
      <c r="M501" s="93"/>
      <c r="N501" s="94"/>
    </row>
    <row r="502" customFormat="false" ht="12.75" hidden="false" customHeight="false" outlineLevel="0" collapsed="false">
      <c r="K502" s="92"/>
      <c r="M502" s="93"/>
      <c r="N502" s="94"/>
    </row>
    <row r="503" customFormat="false" ht="12.75" hidden="false" customHeight="false" outlineLevel="0" collapsed="false">
      <c r="K503" s="92"/>
      <c r="M503" s="93"/>
      <c r="N503" s="94"/>
    </row>
    <row r="504" customFormat="false" ht="12.75" hidden="false" customHeight="false" outlineLevel="0" collapsed="false">
      <c r="K504" s="92"/>
      <c r="M504" s="93"/>
      <c r="N504" s="94"/>
    </row>
    <row r="505" customFormat="false" ht="12.75" hidden="false" customHeight="false" outlineLevel="0" collapsed="false">
      <c r="K505" s="92"/>
      <c r="M505" s="93"/>
      <c r="N505" s="94"/>
    </row>
    <row r="506" customFormat="false" ht="12.75" hidden="false" customHeight="false" outlineLevel="0" collapsed="false">
      <c r="K506" s="92"/>
      <c r="M506" s="93"/>
      <c r="N506" s="94"/>
    </row>
    <row r="507" customFormat="false" ht="12.75" hidden="false" customHeight="false" outlineLevel="0" collapsed="false">
      <c r="K507" s="92"/>
      <c r="M507" s="93"/>
      <c r="N507" s="94"/>
    </row>
    <row r="508" customFormat="false" ht="12.75" hidden="false" customHeight="false" outlineLevel="0" collapsed="false">
      <c r="K508" s="92"/>
      <c r="M508" s="93"/>
      <c r="N508" s="94"/>
    </row>
    <row r="509" customFormat="false" ht="12.75" hidden="false" customHeight="false" outlineLevel="0" collapsed="false">
      <c r="K509" s="92"/>
      <c r="M509" s="93"/>
      <c r="N509" s="94"/>
    </row>
    <row r="510" customFormat="false" ht="12.75" hidden="false" customHeight="false" outlineLevel="0" collapsed="false">
      <c r="K510" s="92"/>
      <c r="M510" s="93"/>
      <c r="N510" s="94"/>
    </row>
    <row r="511" customFormat="false" ht="12.75" hidden="false" customHeight="false" outlineLevel="0" collapsed="false">
      <c r="K511" s="92"/>
      <c r="M511" s="93"/>
      <c r="N511" s="94"/>
    </row>
    <row r="512" customFormat="false" ht="12.75" hidden="false" customHeight="false" outlineLevel="0" collapsed="false">
      <c r="K512" s="92"/>
      <c r="M512" s="93"/>
      <c r="N512" s="94"/>
    </row>
    <row r="513" customFormat="false" ht="12.75" hidden="false" customHeight="false" outlineLevel="0" collapsed="false">
      <c r="K513" s="92"/>
      <c r="M513" s="93"/>
      <c r="N513" s="94"/>
    </row>
    <row r="514" customFormat="false" ht="12.75" hidden="false" customHeight="false" outlineLevel="0" collapsed="false">
      <c r="K514" s="92"/>
      <c r="M514" s="93"/>
      <c r="N514" s="94"/>
    </row>
    <row r="515" customFormat="false" ht="12.75" hidden="false" customHeight="false" outlineLevel="0" collapsed="false">
      <c r="K515" s="92"/>
      <c r="M515" s="93"/>
      <c r="N515" s="94"/>
    </row>
    <row r="516" customFormat="false" ht="12.75" hidden="false" customHeight="false" outlineLevel="0" collapsed="false">
      <c r="K516" s="92"/>
      <c r="M516" s="93"/>
      <c r="N516" s="94"/>
    </row>
    <row r="517" customFormat="false" ht="12.75" hidden="false" customHeight="false" outlineLevel="0" collapsed="false">
      <c r="K517" s="92"/>
      <c r="M517" s="93"/>
      <c r="N517" s="94"/>
    </row>
    <row r="518" customFormat="false" ht="12.75" hidden="false" customHeight="false" outlineLevel="0" collapsed="false">
      <c r="K518" s="92"/>
      <c r="M518" s="93"/>
      <c r="N518" s="94"/>
    </row>
    <row r="519" customFormat="false" ht="12.75" hidden="false" customHeight="false" outlineLevel="0" collapsed="false">
      <c r="K519" s="92"/>
      <c r="M519" s="93"/>
      <c r="N519" s="94"/>
    </row>
    <row r="520" customFormat="false" ht="12.75" hidden="false" customHeight="false" outlineLevel="0" collapsed="false">
      <c r="K520" s="92"/>
      <c r="M520" s="93"/>
      <c r="N520" s="94"/>
    </row>
    <row r="521" customFormat="false" ht="12.75" hidden="false" customHeight="false" outlineLevel="0" collapsed="false">
      <c r="K521" s="92"/>
      <c r="M521" s="93"/>
      <c r="N521" s="94"/>
    </row>
    <row r="522" customFormat="false" ht="12.75" hidden="false" customHeight="false" outlineLevel="0" collapsed="false">
      <c r="K522" s="92"/>
      <c r="M522" s="93"/>
      <c r="N522" s="94"/>
    </row>
    <row r="523" customFormat="false" ht="12.75" hidden="false" customHeight="false" outlineLevel="0" collapsed="false">
      <c r="K523" s="92"/>
      <c r="M523" s="93"/>
      <c r="N523" s="94"/>
    </row>
    <row r="524" customFormat="false" ht="12.75" hidden="false" customHeight="false" outlineLevel="0" collapsed="false">
      <c r="K524" s="92"/>
      <c r="M524" s="93"/>
      <c r="N524" s="94"/>
    </row>
    <row r="525" customFormat="false" ht="12.75" hidden="false" customHeight="false" outlineLevel="0" collapsed="false">
      <c r="K525" s="92"/>
      <c r="M525" s="93"/>
      <c r="N525" s="94"/>
    </row>
    <row r="526" customFormat="false" ht="12.75" hidden="false" customHeight="false" outlineLevel="0" collapsed="false">
      <c r="K526" s="92"/>
      <c r="M526" s="93"/>
      <c r="N526" s="94"/>
    </row>
    <row r="527" customFormat="false" ht="12.75" hidden="false" customHeight="false" outlineLevel="0" collapsed="false">
      <c r="K527" s="92"/>
      <c r="M527" s="93"/>
      <c r="N527" s="94"/>
    </row>
    <row r="528" customFormat="false" ht="12.75" hidden="false" customHeight="false" outlineLevel="0" collapsed="false">
      <c r="K528" s="92"/>
      <c r="M528" s="93"/>
      <c r="N528" s="94"/>
    </row>
    <row r="529" customFormat="false" ht="12.75" hidden="false" customHeight="false" outlineLevel="0" collapsed="false">
      <c r="K529" s="92"/>
      <c r="M529" s="93"/>
      <c r="N529" s="94"/>
    </row>
    <row r="530" customFormat="false" ht="12.75" hidden="false" customHeight="false" outlineLevel="0" collapsed="false">
      <c r="K530" s="92"/>
      <c r="M530" s="93"/>
      <c r="N530" s="94"/>
    </row>
    <row r="531" customFormat="false" ht="12.75" hidden="false" customHeight="false" outlineLevel="0" collapsed="false">
      <c r="K531" s="92"/>
      <c r="M531" s="93"/>
      <c r="N531" s="94"/>
    </row>
    <row r="532" customFormat="false" ht="12.75" hidden="false" customHeight="false" outlineLevel="0" collapsed="false">
      <c r="K532" s="92"/>
      <c r="M532" s="93"/>
      <c r="N532" s="94"/>
    </row>
    <row r="533" customFormat="false" ht="12.75" hidden="false" customHeight="false" outlineLevel="0" collapsed="false">
      <c r="K533" s="92"/>
      <c r="M533" s="93"/>
      <c r="N533" s="94"/>
    </row>
    <row r="534" customFormat="false" ht="12.75" hidden="false" customHeight="false" outlineLevel="0" collapsed="false">
      <c r="K534" s="92"/>
      <c r="M534" s="93"/>
      <c r="N534" s="94"/>
    </row>
    <row r="535" customFormat="false" ht="12.75" hidden="false" customHeight="false" outlineLevel="0" collapsed="false">
      <c r="K535" s="92"/>
      <c r="M535" s="93"/>
      <c r="N535" s="94"/>
    </row>
    <row r="536" customFormat="false" ht="12.75" hidden="false" customHeight="false" outlineLevel="0" collapsed="false">
      <c r="K536" s="92"/>
      <c r="M536" s="93"/>
      <c r="N536" s="94"/>
    </row>
    <row r="537" customFormat="false" ht="12.75" hidden="false" customHeight="false" outlineLevel="0" collapsed="false">
      <c r="K537" s="92"/>
      <c r="M537" s="93"/>
      <c r="N537" s="94"/>
    </row>
    <row r="538" customFormat="false" ht="12.75" hidden="false" customHeight="false" outlineLevel="0" collapsed="false">
      <c r="K538" s="92"/>
      <c r="M538" s="93"/>
      <c r="N538" s="94"/>
    </row>
    <row r="539" customFormat="false" ht="12.75" hidden="false" customHeight="false" outlineLevel="0" collapsed="false">
      <c r="K539" s="92"/>
      <c r="M539" s="93"/>
      <c r="N539" s="94"/>
    </row>
    <row r="540" customFormat="false" ht="12.75" hidden="false" customHeight="false" outlineLevel="0" collapsed="false">
      <c r="K540" s="92"/>
      <c r="M540" s="93"/>
      <c r="N540" s="94"/>
    </row>
    <row r="541" customFormat="false" ht="12.75" hidden="false" customHeight="false" outlineLevel="0" collapsed="false">
      <c r="K541" s="92"/>
      <c r="M541" s="93"/>
      <c r="N541" s="94"/>
    </row>
    <row r="542" customFormat="false" ht="12.75" hidden="false" customHeight="false" outlineLevel="0" collapsed="false">
      <c r="K542" s="92"/>
      <c r="M542" s="93"/>
      <c r="N542" s="94"/>
    </row>
    <row r="543" customFormat="false" ht="12.75" hidden="false" customHeight="false" outlineLevel="0" collapsed="false">
      <c r="K543" s="92"/>
      <c r="M543" s="93"/>
      <c r="N543" s="94"/>
    </row>
    <row r="544" customFormat="false" ht="12.75" hidden="false" customHeight="false" outlineLevel="0" collapsed="false">
      <c r="K544" s="92"/>
      <c r="M544" s="93"/>
      <c r="N544" s="94"/>
    </row>
    <row r="545" customFormat="false" ht="12.75" hidden="false" customHeight="false" outlineLevel="0" collapsed="false">
      <c r="K545" s="92"/>
      <c r="M545" s="93"/>
      <c r="N545" s="94"/>
    </row>
    <row r="546" customFormat="false" ht="12.75" hidden="false" customHeight="false" outlineLevel="0" collapsed="false">
      <c r="K546" s="92"/>
      <c r="M546" s="93"/>
      <c r="N546" s="94"/>
    </row>
    <row r="547" customFormat="false" ht="12.75" hidden="false" customHeight="false" outlineLevel="0" collapsed="false">
      <c r="K547" s="92"/>
      <c r="M547" s="93"/>
      <c r="N547" s="94"/>
    </row>
    <row r="548" customFormat="false" ht="12.75" hidden="false" customHeight="false" outlineLevel="0" collapsed="false">
      <c r="K548" s="92"/>
      <c r="M548" s="93"/>
      <c r="N548" s="94"/>
    </row>
    <row r="549" customFormat="false" ht="12.75" hidden="false" customHeight="false" outlineLevel="0" collapsed="false">
      <c r="K549" s="92"/>
      <c r="M549" s="93"/>
      <c r="N549" s="94"/>
    </row>
    <row r="550" customFormat="false" ht="12.75" hidden="false" customHeight="false" outlineLevel="0" collapsed="false">
      <c r="K550" s="92"/>
      <c r="M550" s="93"/>
      <c r="N550" s="94"/>
    </row>
    <row r="551" customFormat="false" ht="12.75" hidden="false" customHeight="false" outlineLevel="0" collapsed="false">
      <c r="K551" s="92"/>
      <c r="M551" s="93"/>
      <c r="N551" s="94"/>
    </row>
    <row r="552" customFormat="false" ht="12.75" hidden="false" customHeight="false" outlineLevel="0" collapsed="false">
      <c r="K552" s="92"/>
      <c r="M552" s="93"/>
      <c r="N552" s="94"/>
    </row>
    <row r="553" customFormat="false" ht="12.75" hidden="false" customHeight="false" outlineLevel="0" collapsed="false">
      <c r="K553" s="92"/>
      <c r="M553" s="93"/>
      <c r="N553" s="94"/>
    </row>
    <row r="554" customFormat="false" ht="12.75" hidden="false" customHeight="false" outlineLevel="0" collapsed="false">
      <c r="K554" s="92"/>
      <c r="M554" s="93"/>
      <c r="N554" s="94"/>
    </row>
    <row r="555" customFormat="false" ht="12.75" hidden="false" customHeight="false" outlineLevel="0" collapsed="false">
      <c r="K555" s="92"/>
      <c r="M555" s="93"/>
      <c r="N555" s="94"/>
    </row>
    <row r="556" customFormat="false" ht="12.75" hidden="false" customHeight="false" outlineLevel="0" collapsed="false">
      <c r="K556" s="92"/>
      <c r="M556" s="93"/>
      <c r="N556" s="94"/>
    </row>
    <row r="557" customFormat="false" ht="12.75" hidden="false" customHeight="false" outlineLevel="0" collapsed="false">
      <c r="K557" s="92"/>
      <c r="M557" s="93"/>
      <c r="N557" s="94"/>
    </row>
    <row r="558" customFormat="false" ht="12.75" hidden="false" customHeight="false" outlineLevel="0" collapsed="false">
      <c r="K558" s="92"/>
      <c r="M558" s="93"/>
      <c r="N558" s="94"/>
    </row>
    <row r="559" customFormat="false" ht="12.75" hidden="false" customHeight="false" outlineLevel="0" collapsed="false">
      <c r="K559" s="92"/>
      <c r="M559" s="93"/>
      <c r="N559" s="94"/>
    </row>
    <row r="560" customFormat="false" ht="12.75" hidden="false" customHeight="false" outlineLevel="0" collapsed="false">
      <c r="K560" s="92"/>
      <c r="M560" s="93"/>
      <c r="N560" s="94"/>
    </row>
    <row r="561" customFormat="false" ht="12.75" hidden="false" customHeight="false" outlineLevel="0" collapsed="false">
      <c r="K561" s="92"/>
      <c r="M561" s="93"/>
      <c r="N561" s="94"/>
    </row>
    <row r="562" customFormat="false" ht="12.75" hidden="false" customHeight="false" outlineLevel="0" collapsed="false">
      <c r="K562" s="92"/>
      <c r="M562" s="93"/>
      <c r="N562" s="94"/>
    </row>
    <row r="563" customFormat="false" ht="12.75" hidden="false" customHeight="false" outlineLevel="0" collapsed="false">
      <c r="K563" s="92"/>
      <c r="M563" s="93"/>
      <c r="N563" s="94"/>
    </row>
    <row r="564" customFormat="false" ht="12.75" hidden="false" customHeight="false" outlineLevel="0" collapsed="false">
      <c r="K564" s="92"/>
      <c r="M564" s="93"/>
      <c r="N564" s="94"/>
    </row>
    <row r="565" customFormat="false" ht="12.75" hidden="false" customHeight="false" outlineLevel="0" collapsed="false">
      <c r="K565" s="92"/>
      <c r="M565" s="93"/>
      <c r="N565" s="94"/>
    </row>
    <row r="566" customFormat="false" ht="12.75" hidden="false" customHeight="false" outlineLevel="0" collapsed="false">
      <c r="K566" s="92"/>
      <c r="M566" s="93"/>
      <c r="N566" s="94"/>
    </row>
    <row r="567" customFormat="false" ht="12.75" hidden="false" customHeight="false" outlineLevel="0" collapsed="false">
      <c r="K567" s="92"/>
      <c r="M567" s="93"/>
      <c r="N567" s="94"/>
    </row>
    <row r="568" customFormat="false" ht="12.75" hidden="false" customHeight="false" outlineLevel="0" collapsed="false">
      <c r="K568" s="92"/>
      <c r="M568" s="93"/>
      <c r="N568" s="94"/>
    </row>
    <row r="569" customFormat="false" ht="12.75" hidden="false" customHeight="false" outlineLevel="0" collapsed="false">
      <c r="K569" s="92"/>
      <c r="M569" s="93"/>
      <c r="N569" s="94"/>
    </row>
    <row r="570" customFormat="false" ht="12.75" hidden="false" customHeight="false" outlineLevel="0" collapsed="false">
      <c r="K570" s="92"/>
      <c r="M570" s="93"/>
      <c r="N570" s="94"/>
    </row>
    <row r="571" customFormat="false" ht="12.75" hidden="false" customHeight="false" outlineLevel="0" collapsed="false">
      <c r="K571" s="92"/>
      <c r="M571" s="93"/>
      <c r="N571" s="94"/>
    </row>
    <row r="572" customFormat="false" ht="12.75" hidden="false" customHeight="false" outlineLevel="0" collapsed="false">
      <c r="K572" s="92"/>
      <c r="M572" s="93"/>
      <c r="N572" s="94"/>
    </row>
    <row r="573" customFormat="false" ht="12.75" hidden="false" customHeight="false" outlineLevel="0" collapsed="false">
      <c r="K573" s="92"/>
      <c r="M573" s="93"/>
      <c r="N573" s="94"/>
    </row>
    <row r="574" customFormat="false" ht="12.75" hidden="false" customHeight="false" outlineLevel="0" collapsed="false">
      <c r="K574" s="92"/>
      <c r="M574" s="93"/>
      <c r="N574" s="94"/>
    </row>
    <row r="575" customFormat="false" ht="12.75" hidden="false" customHeight="false" outlineLevel="0" collapsed="false">
      <c r="K575" s="92"/>
      <c r="M575" s="93"/>
      <c r="N575" s="94"/>
    </row>
    <row r="576" customFormat="false" ht="12.75" hidden="false" customHeight="false" outlineLevel="0" collapsed="false">
      <c r="K576" s="92"/>
      <c r="M576" s="93"/>
      <c r="N576" s="94"/>
    </row>
    <row r="577" customFormat="false" ht="12.75" hidden="false" customHeight="false" outlineLevel="0" collapsed="false">
      <c r="K577" s="92"/>
      <c r="M577" s="93"/>
      <c r="N577" s="94"/>
    </row>
    <row r="578" customFormat="false" ht="12.75" hidden="false" customHeight="false" outlineLevel="0" collapsed="false">
      <c r="K578" s="92"/>
      <c r="M578" s="93"/>
      <c r="N578" s="94"/>
    </row>
    <row r="579" customFormat="false" ht="12.75" hidden="false" customHeight="false" outlineLevel="0" collapsed="false">
      <c r="K579" s="92"/>
      <c r="M579" s="93"/>
      <c r="N579" s="94"/>
    </row>
    <row r="580" customFormat="false" ht="12.75" hidden="false" customHeight="false" outlineLevel="0" collapsed="false">
      <c r="K580" s="92"/>
      <c r="M580" s="93"/>
      <c r="N580" s="94"/>
    </row>
    <row r="581" customFormat="false" ht="12.75" hidden="false" customHeight="false" outlineLevel="0" collapsed="false">
      <c r="K581" s="92"/>
      <c r="M581" s="93"/>
      <c r="N581" s="94"/>
    </row>
    <row r="582" customFormat="false" ht="12.75" hidden="false" customHeight="false" outlineLevel="0" collapsed="false">
      <c r="K582" s="92"/>
      <c r="M582" s="93"/>
      <c r="N582" s="94"/>
    </row>
    <row r="583" customFormat="false" ht="12.75" hidden="false" customHeight="false" outlineLevel="0" collapsed="false">
      <c r="K583" s="92"/>
      <c r="M583" s="93"/>
      <c r="N583" s="94"/>
    </row>
    <row r="584" customFormat="false" ht="12.75" hidden="false" customHeight="false" outlineLevel="0" collapsed="false">
      <c r="K584" s="92"/>
      <c r="M584" s="93"/>
      <c r="N584" s="94"/>
    </row>
    <row r="585" customFormat="false" ht="12.75" hidden="false" customHeight="false" outlineLevel="0" collapsed="false">
      <c r="K585" s="92"/>
      <c r="M585" s="93"/>
      <c r="N585" s="94"/>
    </row>
    <row r="586" customFormat="false" ht="12.75" hidden="false" customHeight="false" outlineLevel="0" collapsed="false">
      <c r="K586" s="92"/>
      <c r="M586" s="93"/>
      <c r="N586" s="94"/>
    </row>
    <row r="587" customFormat="false" ht="12.75" hidden="false" customHeight="false" outlineLevel="0" collapsed="false">
      <c r="K587" s="92"/>
      <c r="M587" s="93"/>
      <c r="N587" s="94"/>
    </row>
    <row r="588" customFormat="false" ht="12.75" hidden="false" customHeight="false" outlineLevel="0" collapsed="false">
      <c r="K588" s="92"/>
      <c r="M588" s="93"/>
      <c r="N588" s="94"/>
    </row>
    <row r="589" customFormat="false" ht="12.75" hidden="false" customHeight="false" outlineLevel="0" collapsed="false">
      <c r="K589" s="92"/>
      <c r="M589" s="93"/>
      <c r="N589" s="94"/>
    </row>
    <row r="590" customFormat="false" ht="12.75" hidden="false" customHeight="false" outlineLevel="0" collapsed="false">
      <c r="K590" s="92"/>
      <c r="M590" s="93"/>
      <c r="N590" s="94"/>
    </row>
    <row r="591" customFormat="false" ht="12.75" hidden="false" customHeight="false" outlineLevel="0" collapsed="false">
      <c r="K591" s="92"/>
      <c r="M591" s="93"/>
      <c r="N591" s="94"/>
    </row>
    <row r="592" customFormat="false" ht="12.75" hidden="false" customHeight="false" outlineLevel="0" collapsed="false">
      <c r="K592" s="92"/>
      <c r="M592" s="93"/>
      <c r="N592" s="94"/>
    </row>
    <row r="593" customFormat="false" ht="12.75" hidden="false" customHeight="false" outlineLevel="0" collapsed="false">
      <c r="K593" s="92"/>
      <c r="M593" s="93"/>
      <c r="N593" s="94"/>
    </row>
    <row r="594" customFormat="false" ht="12.75" hidden="false" customHeight="false" outlineLevel="0" collapsed="false">
      <c r="K594" s="92"/>
      <c r="M594" s="93"/>
      <c r="N594" s="94"/>
    </row>
    <row r="595" customFormat="false" ht="12.75" hidden="false" customHeight="false" outlineLevel="0" collapsed="false">
      <c r="K595" s="92"/>
      <c r="M595" s="93"/>
      <c r="N595" s="94"/>
    </row>
    <row r="596" customFormat="false" ht="12.75" hidden="false" customHeight="false" outlineLevel="0" collapsed="false">
      <c r="K596" s="92"/>
      <c r="M596" s="93"/>
      <c r="N596" s="94"/>
    </row>
    <row r="597" customFormat="false" ht="12.75" hidden="false" customHeight="false" outlineLevel="0" collapsed="false">
      <c r="K597" s="92"/>
      <c r="M597" s="93"/>
      <c r="N597" s="94"/>
    </row>
    <row r="598" customFormat="false" ht="12.75" hidden="false" customHeight="false" outlineLevel="0" collapsed="false">
      <c r="K598" s="92"/>
      <c r="M598" s="93"/>
      <c r="N598" s="94"/>
    </row>
    <row r="599" customFormat="false" ht="12.75" hidden="false" customHeight="false" outlineLevel="0" collapsed="false">
      <c r="K599" s="92"/>
      <c r="M599" s="93"/>
      <c r="N599" s="94"/>
    </row>
    <row r="600" customFormat="false" ht="12.75" hidden="false" customHeight="false" outlineLevel="0" collapsed="false">
      <c r="K600" s="92"/>
      <c r="M600" s="93"/>
      <c r="N600" s="94"/>
    </row>
    <row r="601" customFormat="false" ht="12.75" hidden="false" customHeight="false" outlineLevel="0" collapsed="false">
      <c r="K601" s="92"/>
      <c r="M601" s="93"/>
      <c r="N601" s="94"/>
    </row>
    <row r="602" customFormat="false" ht="12.75" hidden="false" customHeight="false" outlineLevel="0" collapsed="false">
      <c r="K602" s="92"/>
      <c r="M602" s="93"/>
      <c r="N602" s="94"/>
    </row>
    <row r="603" customFormat="false" ht="12.75" hidden="false" customHeight="false" outlineLevel="0" collapsed="false">
      <c r="K603" s="92"/>
      <c r="M603" s="93"/>
      <c r="N603" s="94"/>
    </row>
    <row r="604" customFormat="false" ht="12.75" hidden="false" customHeight="false" outlineLevel="0" collapsed="false">
      <c r="K604" s="92"/>
      <c r="M604" s="93"/>
      <c r="N604" s="94"/>
    </row>
    <row r="605" customFormat="false" ht="12.75" hidden="false" customHeight="false" outlineLevel="0" collapsed="false">
      <c r="K605" s="92"/>
      <c r="M605" s="93"/>
      <c r="N605" s="94"/>
    </row>
    <row r="606" customFormat="false" ht="12.75" hidden="false" customHeight="false" outlineLevel="0" collapsed="false">
      <c r="K606" s="92"/>
      <c r="M606" s="93"/>
      <c r="N606" s="94"/>
    </row>
    <row r="607" customFormat="false" ht="12.75" hidden="false" customHeight="false" outlineLevel="0" collapsed="false">
      <c r="K607" s="92"/>
      <c r="M607" s="93"/>
      <c r="N607" s="94"/>
    </row>
    <row r="608" customFormat="false" ht="12.75" hidden="false" customHeight="false" outlineLevel="0" collapsed="false">
      <c r="K608" s="92"/>
      <c r="M608" s="93"/>
      <c r="N608" s="94"/>
    </row>
    <row r="609" customFormat="false" ht="12.75" hidden="false" customHeight="false" outlineLevel="0" collapsed="false">
      <c r="K609" s="92"/>
      <c r="M609" s="93"/>
      <c r="N609" s="94"/>
    </row>
    <row r="610" customFormat="false" ht="12.75" hidden="false" customHeight="false" outlineLevel="0" collapsed="false">
      <c r="K610" s="92"/>
      <c r="M610" s="93"/>
      <c r="N610" s="94"/>
    </row>
    <row r="611" customFormat="false" ht="12.75" hidden="false" customHeight="false" outlineLevel="0" collapsed="false">
      <c r="K611" s="92"/>
      <c r="M611" s="93"/>
      <c r="N611" s="94"/>
    </row>
    <row r="612" customFormat="false" ht="12.75" hidden="false" customHeight="false" outlineLevel="0" collapsed="false">
      <c r="K612" s="92"/>
      <c r="M612" s="93"/>
      <c r="N612" s="94"/>
    </row>
    <row r="613" customFormat="false" ht="12.75" hidden="false" customHeight="false" outlineLevel="0" collapsed="false">
      <c r="K613" s="92"/>
      <c r="M613" s="93"/>
      <c r="N613" s="94"/>
    </row>
    <row r="614" customFormat="false" ht="12.75" hidden="false" customHeight="false" outlineLevel="0" collapsed="false">
      <c r="K614" s="92"/>
      <c r="M614" s="93"/>
      <c r="N614" s="94"/>
    </row>
    <row r="615" customFormat="false" ht="12.75" hidden="false" customHeight="false" outlineLevel="0" collapsed="false">
      <c r="K615" s="92"/>
      <c r="M615" s="93"/>
      <c r="N615" s="94"/>
    </row>
    <row r="616" customFormat="false" ht="12.75" hidden="false" customHeight="false" outlineLevel="0" collapsed="false">
      <c r="K616" s="92"/>
      <c r="M616" s="93"/>
      <c r="N616" s="94"/>
    </row>
    <row r="617" customFormat="false" ht="12.75" hidden="false" customHeight="false" outlineLevel="0" collapsed="false">
      <c r="K617" s="92"/>
      <c r="M617" s="93"/>
      <c r="N617" s="94"/>
    </row>
    <row r="618" customFormat="false" ht="12.75" hidden="false" customHeight="false" outlineLevel="0" collapsed="false">
      <c r="K618" s="92"/>
      <c r="M618" s="93"/>
      <c r="N618" s="94"/>
    </row>
    <row r="619" customFormat="false" ht="12.75" hidden="false" customHeight="false" outlineLevel="0" collapsed="false">
      <c r="K619" s="92"/>
      <c r="M619" s="93"/>
      <c r="N619" s="94"/>
    </row>
    <row r="620" customFormat="false" ht="12.75" hidden="false" customHeight="false" outlineLevel="0" collapsed="false">
      <c r="K620" s="92"/>
      <c r="M620" s="93"/>
      <c r="N620" s="94"/>
    </row>
    <row r="621" customFormat="false" ht="12.75" hidden="false" customHeight="false" outlineLevel="0" collapsed="false">
      <c r="K621" s="92"/>
      <c r="M621" s="93"/>
      <c r="N621" s="94"/>
    </row>
    <row r="622" customFormat="false" ht="12.75" hidden="false" customHeight="false" outlineLevel="0" collapsed="false">
      <c r="K622" s="92"/>
      <c r="M622" s="93"/>
      <c r="N622" s="94"/>
    </row>
    <row r="623" customFormat="false" ht="12.75" hidden="false" customHeight="false" outlineLevel="0" collapsed="false">
      <c r="K623" s="92"/>
      <c r="M623" s="93"/>
      <c r="N623" s="94"/>
    </row>
    <row r="624" customFormat="false" ht="12.75" hidden="false" customHeight="false" outlineLevel="0" collapsed="false">
      <c r="K624" s="92"/>
      <c r="M624" s="93"/>
      <c r="N624" s="94"/>
    </row>
    <row r="625" customFormat="false" ht="12.75" hidden="false" customHeight="false" outlineLevel="0" collapsed="false">
      <c r="K625" s="92"/>
      <c r="M625" s="93"/>
      <c r="N625" s="94"/>
    </row>
    <row r="626" customFormat="false" ht="12.75" hidden="false" customHeight="false" outlineLevel="0" collapsed="false">
      <c r="K626" s="92"/>
      <c r="M626" s="93"/>
      <c r="N626" s="94"/>
    </row>
    <row r="627" customFormat="false" ht="12.75" hidden="false" customHeight="false" outlineLevel="0" collapsed="false">
      <c r="K627" s="92"/>
      <c r="M627" s="93"/>
      <c r="N627" s="94"/>
    </row>
    <row r="628" customFormat="false" ht="12.75" hidden="false" customHeight="false" outlineLevel="0" collapsed="false">
      <c r="K628" s="92"/>
      <c r="M628" s="93"/>
      <c r="N628" s="94"/>
    </row>
    <row r="629" customFormat="false" ht="12.75" hidden="false" customHeight="false" outlineLevel="0" collapsed="false">
      <c r="K629" s="92"/>
      <c r="M629" s="93"/>
      <c r="N629" s="94"/>
    </row>
    <row r="630" customFormat="false" ht="12.75" hidden="false" customHeight="false" outlineLevel="0" collapsed="false">
      <c r="K630" s="92"/>
      <c r="M630" s="93"/>
      <c r="N630" s="94"/>
    </row>
    <row r="631" customFormat="false" ht="12.75" hidden="false" customHeight="false" outlineLevel="0" collapsed="false">
      <c r="K631" s="92"/>
      <c r="M631" s="93"/>
      <c r="N631" s="94"/>
    </row>
    <row r="632" customFormat="false" ht="12.75" hidden="false" customHeight="false" outlineLevel="0" collapsed="false">
      <c r="K632" s="92"/>
      <c r="M632" s="93"/>
      <c r="N632" s="94"/>
    </row>
    <row r="633" customFormat="false" ht="12.75" hidden="false" customHeight="false" outlineLevel="0" collapsed="false">
      <c r="K633" s="92"/>
      <c r="M633" s="93"/>
      <c r="N633" s="94"/>
    </row>
    <row r="634" customFormat="false" ht="12.75" hidden="false" customHeight="false" outlineLevel="0" collapsed="false">
      <c r="K634" s="92"/>
      <c r="M634" s="93"/>
      <c r="N634" s="94"/>
    </row>
    <row r="635" customFormat="false" ht="12.75" hidden="false" customHeight="false" outlineLevel="0" collapsed="false">
      <c r="K635" s="92"/>
      <c r="M635" s="93"/>
      <c r="N635" s="94"/>
    </row>
    <row r="636" customFormat="false" ht="12.75" hidden="false" customHeight="false" outlineLevel="0" collapsed="false">
      <c r="K636" s="92"/>
      <c r="M636" s="93"/>
      <c r="N636" s="94"/>
    </row>
    <row r="637" customFormat="false" ht="12.75" hidden="false" customHeight="false" outlineLevel="0" collapsed="false">
      <c r="K637" s="92"/>
      <c r="M637" s="93"/>
      <c r="N637" s="94"/>
    </row>
    <row r="638" customFormat="false" ht="12.75" hidden="false" customHeight="false" outlineLevel="0" collapsed="false">
      <c r="K638" s="92"/>
      <c r="M638" s="93"/>
      <c r="N638" s="94"/>
    </row>
    <row r="639" customFormat="false" ht="12.75" hidden="false" customHeight="false" outlineLevel="0" collapsed="false">
      <c r="K639" s="92"/>
      <c r="M639" s="93"/>
      <c r="N639" s="94"/>
    </row>
    <row r="640" customFormat="false" ht="12.75" hidden="false" customHeight="false" outlineLevel="0" collapsed="false">
      <c r="K640" s="92"/>
      <c r="M640" s="93"/>
      <c r="N640" s="94"/>
    </row>
    <row r="641" customFormat="false" ht="12.75" hidden="false" customHeight="false" outlineLevel="0" collapsed="false">
      <c r="K641" s="92"/>
      <c r="M641" s="93"/>
      <c r="N641" s="94"/>
    </row>
    <row r="642" customFormat="false" ht="12.75" hidden="false" customHeight="false" outlineLevel="0" collapsed="false">
      <c r="K642" s="92"/>
      <c r="M642" s="93"/>
      <c r="N642" s="94"/>
    </row>
    <row r="643" customFormat="false" ht="12.75" hidden="false" customHeight="false" outlineLevel="0" collapsed="false">
      <c r="K643" s="92"/>
      <c r="M643" s="93"/>
      <c r="N643" s="94"/>
    </row>
    <row r="644" customFormat="false" ht="12.75" hidden="false" customHeight="false" outlineLevel="0" collapsed="false">
      <c r="K644" s="92"/>
      <c r="M644" s="93"/>
      <c r="N644" s="94"/>
    </row>
    <row r="645" customFormat="false" ht="12.75" hidden="false" customHeight="false" outlineLevel="0" collapsed="false">
      <c r="K645" s="92"/>
      <c r="M645" s="93"/>
      <c r="N645" s="94"/>
    </row>
    <row r="646" customFormat="false" ht="12.75" hidden="false" customHeight="false" outlineLevel="0" collapsed="false">
      <c r="K646" s="92"/>
      <c r="M646" s="93"/>
      <c r="N646" s="94"/>
    </row>
    <row r="647" customFormat="false" ht="12.75" hidden="false" customHeight="false" outlineLevel="0" collapsed="false">
      <c r="K647" s="92"/>
      <c r="M647" s="93"/>
      <c r="N647" s="94"/>
    </row>
    <row r="648" customFormat="false" ht="12.75" hidden="false" customHeight="false" outlineLevel="0" collapsed="false">
      <c r="K648" s="92"/>
      <c r="M648" s="93"/>
      <c r="N648" s="94"/>
    </row>
    <row r="649" customFormat="false" ht="12.75" hidden="false" customHeight="false" outlineLevel="0" collapsed="false">
      <c r="K649" s="92"/>
      <c r="M649" s="93"/>
      <c r="N649" s="94"/>
    </row>
    <row r="650" customFormat="false" ht="12.75" hidden="false" customHeight="false" outlineLevel="0" collapsed="false">
      <c r="K650" s="92"/>
      <c r="M650" s="93"/>
      <c r="N650" s="94"/>
    </row>
    <row r="651" customFormat="false" ht="12.75" hidden="false" customHeight="false" outlineLevel="0" collapsed="false">
      <c r="K651" s="92"/>
      <c r="M651" s="93"/>
      <c r="N651" s="94"/>
    </row>
    <row r="652" customFormat="false" ht="12.75" hidden="false" customHeight="false" outlineLevel="0" collapsed="false">
      <c r="K652" s="92"/>
      <c r="M652" s="93"/>
      <c r="N652" s="94"/>
    </row>
    <row r="653" customFormat="false" ht="12.75" hidden="false" customHeight="false" outlineLevel="0" collapsed="false">
      <c r="K653" s="92"/>
      <c r="M653" s="93"/>
      <c r="N653" s="94"/>
    </row>
    <row r="654" customFormat="false" ht="12.75" hidden="false" customHeight="false" outlineLevel="0" collapsed="false">
      <c r="K654" s="92"/>
      <c r="M654" s="93"/>
      <c r="N654" s="94"/>
    </row>
    <row r="655" customFormat="false" ht="12.75" hidden="false" customHeight="false" outlineLevel="0" collapsed="false">
      <c r="K655" s="92"/>
      <c r="M655" s="93"/>
      <c r="N655" s="94"/>
    </row>
    <row r="656" customFormat="false" ht="12.75" hidden="false" customHeight="false" outlineLevel="0" collapsed="false">
      <c r="K656" s="92"/>
      <c r="M656" s="93"/>
      <c r="N656" s="94"/>
    </row>
    <row r="657" customFormat="false" ht="12.75" hidden="false" customHeight="false" outlineLevel="0" collapsed="false">
      <c r="K657" s="92"/>
      <c r="M657" s="93"/>
      <c r="N657" s="94"/>
    </row>
    <row r="658" customFormat="false" ht="12.75" hidden="false" customHeight="false" outlineLevel="0" collapsed="false">
      <c r="K658" s="92"/>
      <c r="M658" s="93"/>
      <c r="N658" s="94"/>
    </row>
    <row r="659" customFormat="false" ht="12.75" hidden="false" customHeight="false" outlineLevel="0" collapsed="false">
      <c r="K659" s="92"/>
      <c r="M659" s="93"/>
      <c r="N659" s="94"/>
    </row>
    <row r="660" customFormat="false" ht="12.75" hidden="false" customHeight="false" outlineLevel="0" collapsed="false">
      <c r="K660" s="92"/>
      <c r="M660" s="93"/>
      <c r="N660" s="94"/>
    </row>
    <row r="661" customFormat="false" ht="12.75" hidden="false" customHeight="false" outlineLevel="0" collapsed="false">
      <c r="K661" s="92"/>
      <c r="M661" s="93"/>
      <c r="N661" s="94"/>
    </row>
    <row r="662" customFormat="false" ht="12.75" hidden="false" customHeight="false" outlineLevel="0" collapsed="false">
      <c r="K662" s="92"/>
      <c r="M662" s="93"/>
      <c r="N662" s="94"/>
    </row>
    <row r="663" customFormat="false" ht="12.75" hidden="false" customHeight="false" outlineLevel="0" collapsed="false">
      <c r="K663" s="92"/>
      <c r="M663" s="93"/>
      <c r="N663" s="94"/>
    </row>
    <row r="664" customFormat="false" ht="12.75" hidden="false" customHeight="false" outlineLevel="0" collapsed="false">
      <c r="K664" s="92"/>
      <c r="M664" s="93"/>
      <c r="N664" s="94"/>
    </row>
    <row r="665" customFormat="false" ht="12.75" hidden="false" customHeight="false" outlineLevel="0" collapsed="false">
      <c r="K665" s="92"/>
      <c r="M665" s="93"/>
      <c r="N665" s="94"/>
    </row>
    <row r="666" customFormat="false" ht="12.75" hidden="false" customHeight="false" outlineLevel="0" collapsed="false">
      <c r="K666" s="92"/>
      <c r="M666" s="93"/>
      <c r="N666" s="94"/>
    </row>
    <row r="667" customFormat="false" ht="12.75" hidden="false" customHeight="false" outlineLevel="0" collapsed="false">
      <c r="K667" s="92"/>
      <c r="M667" s="93"/>
      <c r="N667" s="94"/>
    </row>
    <row r="668" customFormat="false" ht="12.75" hidden="false" customHeight="false" outlineLevel="0" collapsed="false">
      <c r="K668" s="92"/>
      <c r="M668" s="93"/>
      <c r="N668" s="94"/>
    </row>
    <row r="669" customFormat="false" ht="12.75" hidden="false" customHeight="false" outlineLevel="0" collapsed="false">
      <c r="K669" s="92"/>
      <c r="M669" s="93"/>
      <c r="N669" s="94"/>
    </row>
    <row r="670" customFormat="false" ht="12.75" hidden="false" customHeight="false" outlineLevel="0" collapsed="false">
      <c r="K670" s="92"/>
      <c r="M670" s="93"/>
      <c r="N670" s="94"/>
    </row>
    <row r="671" customFormat="false" ht="12.75" hidden="false" customHeight="false" outlineLevel="0" collapsed="false">
      <c r="K671" s="92"/>
      <c r="M671" s="93"/>
      <c r="N671" s="94"/>
    </row>
    <row r="672" customFormat="false" ht="12.75" hidden="false" customHeight="false" outlineLevel="0" collapsed="false">
      <c r="K672" s="92"/>
      <c r="M672" s="93"/>
      <c r="N672" s="94"/>
    </row>
    <row r="673" customFormat="false" ht="12.75" hidden="false" customHeight="false" outlineLevel="0" collapsed="false">
      <c r="K673" s="92"/>
      <c r="M673" s="93"/>
      <c r="N673" s="94"/>
    </row>
    <row r="674" customFormat="false" ht="12.75" hidden="false" customHeight="false" outlineLevel="0" collapsed="false">
      <c r="K674" s="92"/>
      <c r="M674" s="93"/>
      <c r="N674" s="94"/>
    </row>
    <row r="675" customFormat="false" ht="12.75" hidden="false" customHeight="false" outlineLevel="0" collapsed="false">
      <c r="K675" s="92"/>
      <c r="M675" s="93"/>
      <c r="N675" s="94"/>
    </row>
    <row r="676" customFormat="false" ht="12.75" hidden="false" customHeight="false" outlineLevel="0" collapsed="false">
      <c r="K676" s="92"/>
      <c r="M676" s="93"/>
      <c r="N676" s="94"/>
    </row>
    <row r="677" customFormat="false" ht="12.75" hidden="false" customHeight="false" outlineLevel="0" collapsed="false">
      <c r="K677" s="92"/>
      <c r="M677" s="93"/>
      <c r="N677" s="94"/>
    </row>
    <row r="678" customFormat="false" ht="12.75" hidden="false" customHeight="false" outlineLevel="0" collapsed="false">
      <c r="K678" s="92"/>
      <c r="M678" s="93"/>
      <c r="N678" s="94"/>
    </row>
    <row r="679" customFormat="false" ht="12.75" hidden="false" customHeight="false" outlineLevel="0" collapsed="false">
      <c r="K679" s="92"/>
      <c r="M679" s="93"/>
      <c r="N679" s="94"/>
    </row>
    <row r="680" customFormat="false" ht="12.75" hidden="false" customHeight="false" outlineLevel="0" collapsed="false">
      <c r="K680" s="92"/>
      <c r="M680" s="93"/>
      <c r="N680" s="94"/>
    </row>
    <row r="681" customFormat="false" ht="12.75" hidden="false" customHeight="false" outlineLevel="0" collapsed="false">
      <c r="K681" s="92"/>
      <c r="M681" s="93"/>
      <c r="N681" s="94"/>
    </row>
    <row r="682" customFormat="false" ht="12.75" hidden="false" customHeight="false" outlineLevel="0" collapsed="false">
      <c r="K682" s="92"/>
      <c r="M682" s="93"/>
      <c r="N682" s="94"/>
    </row>
    <row r="683" customFormat="false" ht="12.75" hidden="false" customHeight="false" outlineLevel="0" collapsed="false">
      <c r="K683" s="92"/>
      <c r="M683" s="93"/>
      <c r="N683" s="94"/>
    </row>
    <row r="684" customFormat="false" ht="12.75" hidden="false" customHeight="false" outlineLevel="0" collapsed="false">
      <c r="K684" s="92"/>
      <c r="M684" s="93"/>
      <c r="N684" s="94"/>
    </row>
    <row r="685" customFormat="false" ht="12.75" hidden="false" customHeight="false" outlineLevel="0" collapsed="false">
      <c r="K685" s="92"/>
      <c r="M685" s="93"/>
      <c r="N685" s="94"/>
    </row>
    <row r="686" customFormat="false" ht="12.75" hidden="false" customHeight="false" outlineLevel="0" collapsed="false">
      <c r="K686" s="92"/>
      <c r="M686" s="93"/>
      <c r="N686" s="94"/>
    </row>
    <row r="687" customFormat="false" ht="12.75" hidden="false" customHeight="false" outlineLevel="0" collapsed="false">
      <c r="K687" s="92"/>
      <c r="M687" s="93"/>
      <c r="N687" s="94"/>
    </row>
    <row r="688" customFormat="false" ht="12.75" hidden="false" customHeight="false" outlineLevel="0" collapsed="false">
      <c r="K688" s="92"/>
      <c r="M688" s="93"/>
      <c r="N688" s="94"/>
    </row>
    <row r="689" customFormat="false" ht="12.75" hidden="false" customHeight="false" outlineLevel="0" collapsed="false">
      <c r="K689" s="92"/>
      <c r="M689" s="93"/>
      <c r="N689" s="94"/>
    </row>
    <row r="690" customFormat="false" ht="12.75" hidden="false" customHeight="false" outlineLevel="0" collapsed="false">
      <c r="K690" s="92"/>
      <c r="M690" s="93"/>
      <c r="N690" s="94"/>
    </row>
    <row r="691" customFormat="false" ht="12.75" hidden="false" customHeight="false" outlineLevel="0" collapsed="false">
      <c r="K691" s="92"/>
      <c r="M691" s="93"/>
      <c r="N691" s="94"/>
    </row>
    <row r="692" customFormat="false" ht="12.75" hidden="false" customHeight="false" outlineLevel="0" collapsed="false">
      <c r="K692" s="92"/>
      <c r="M692" s="93"/>
      <c r="N692" s="94"/>
    </row>
    <row r="693" customFormat="false" ht="12.75" hidden="false" customHeight="false" outlineLevel="0" collapsed="false">
      <c r="K693" s="92"/>
      <c r="M693" s="93"/>
      <c r="N693" s="94"/>
    </row>
    <row r="694" customFormat="false" ht="12.75" hidden="false" customHeight="false" outlineLevel="0" collapsed="false">
      <c r="K694" s="92"/>
      <c r="M694" s="93"/>
      <c r="N694" s="94"/>
    </row>
    <row r="695" customFormat="false" ht="12.75" hidden="false" customHeight="false" outlineLevel="0" collapsed="false">
      <c r="K695" s="92"/>
      <c r="M695" s="93"/>
      <c r="N695" s="94"/>
    </row>
    <row r="696" customFormat="false" ht="12.75" hidden="false" customHeight="false" outlineLevel="0" collapsed="false">
      <c r="K696" s="92"/>
      <c r="M696" s="93"/>
      <c r="N696" s="94"/>
    </row>
    <row r="697" customFormat="false" ht="12.75" hidden="false" customHeight="false" outlineLevel="0" collapsed="false">
      <c r="K697" s="92"/>
      <c r="M697" s="93"/>
      <c r="N697" s="94"/>
    </row>
    <row r="698" customFormat="false" ht="12.75" hidden="false" customHeight="false" outlineLevel="0" collapsed="false">
      <c r="K698" s="92"/>
      <c r="M698" s="93"/>
      <c r="N698" s="94"/>
    </row>
    <row r="699" customFormat="false" ht="12.75" hidden="false" customHeight="false" outlineLevel="0" collapsed="false">
      <c r="K699" s="92"/>
      <c r="M699" s="93"/>
      <c r="N699" s="94"/>
    </row>
    <row r="700" customFormat="false" ht="12.75" hidden="false" customHeight="false" outlineLevel="0" collapsed="false">
      <c r="K700" s="92"/>
      <c r="M700" s="93"/>
      <c r="N700" s="94"/>
    </row>
    <row r="701" customFormat="false" ht="12.75" hidden="false" customHeight="false" outlineLevel="0" collapsed="false">
      <c r="K701" s="92"/>
      <c r="M701" s="93"/>
      <c r="N701" s="94"/>
    </row>
    <row r="702" customFormat="false" ht="12.75" hidden="false" customHeight="false" outlineLevel="0" collapsed="false">
      <c r="K702" s="92"/>
      <c r="M702" s="93"/>
      <c r="N702" s="94"/>
    </row>
    <row r="703" customFormat="false" ht="12.75" hidden="false" customHeight="false" outlineLevel="0" collapsed="false">
      <c r="K703" s="92"/>
      <c r="M703" s="93"/>
      <c r="N703" s="94"/>
    </row>
    <row r="704" customFormat="false" ht="12.75" hidden="false" customHeight="false" outlineLevel="0" collapsed="false">
      <c r="K704" s="92"/>
      <c r="M704" s="93"/>
      <c r="N704" s="94"/>
    </row>
    <row r="705" customFormat="false" ht="12.75" hidden="false" customHeight="false" outlineLevel="0" collapsed="false">
      <c r="K705" s="92"/>
      <c r="M705" s="93"/>
      <c r="N705" s="94"/>
    </row>
    <row r="706" customFormat="false" ht="12.75" hidden="false" customHeight="false" outlineLevel="0" collapsed="false">
      <c r="K706" s="92"/>
      <c r="M706" s="93"/>
      <c r="N706" s="94"/>
    </row>
    <row r="707" customFormat="false" ht="12.75" hidden="false" customHeight="false" outlineLevel="0" collapsed="false">
      <c r="K707" s="92"/>
      <c r="M707" s="93"/>
      <c r="N707" s="94"/>
    </row>
    <row r="708" customFormat="false" ht="12.75" hidden="false" customHeight="false" outlineLevel="0" collapsed="false">
      <c r="K708" s="92"/>
      <c r="M708" s="93"/>
      <c r="N708" s="94"/>
    </row>
    <row r="709" customFormat="false" ht="12.75" hidden="false" customHeight="false" outlineLevel="0" collapsed="false">
      <c r="K709" s="92"/>
      <c r="M709" s="93"/>
      <c r="N709" s="94"/>
    </row>
    <row r="710" customFormat="false" ht="12.75" hidden="false" customHeight="false" outlineLevel="0" collapsed="false">
      <c r="K710" s="92"/>
      <c r="M710" s="93"/>
      <c r="N710" s="94"/>
    </row>
    <row r="711" customFormat="false" ht="12.75" hidden="false" customHeight="false" outlineLevel="0" collapsed="false">
      <c r="K711" s="92"/>
      <c r="M711" s="93"/>
      <c r="N711" s="94"/>
    </row>
    <row r="712" customFormat="false" ht="12.75" hidden="false" customHeight="false" outlineLevel="0" collapsed="false">
      <c r="K712" s="92"/>
      <c r="M712" s="93"/>
      <c r="N712" s="94"/>
    </row>
    <row r="713" customFormat="false" ht="12.75" hidden="false" customHeight="false" outlineLevel="0" collapsed="false">
      <c r="K713" s="92"/>
      <c r="M713" s="93"/>
      <c r="N713" s="94"/>
    </row>
    <row r="714" customFormat="false" ht="12.75" hidden="false" customHeight="false" outlineLevel="0" collapsed="false">
      <c r="K714" s="92"/>
      <c r="M714" s="93"/>
      <c r="N714" s="94"/>
    </row>
    <row r="715" customFormat="false" ht="12.75" hidden="false" customHeight="false" outlineLevel="0" collapsed="false">
      <c r="K715" s="92"/>
      <c r="M715" s="93"/>
      <c r="N715" s="94"/>
    </row>
    <row r="716" customFormat="false" ht="12.75" hidden="false" customHeight="false" outlineLevel="0" collapsed="false">
      <c r="K716" s="92"/>
      <c r="M716" s="93"/>
      <c r="N716" s="94"/>
    </row>
    <row r="717" customFormat="false" ht="12.75" hidden="false" customHeight="false" outlineLevel="0" collapsed="false">
      <c r="K717" s="92"/>
      <c r="M717" s="93"/>
      <c r="N717" s="94"/>
    </row>
    <row r="718" customFormat="false" ht="12.75" hidden="false" customHeight="false" outlineLevel="0" collapsed="false">
      <c r="K718" s="92"/>
      <c r="M718" s="93"/>
      <c r="N718" s="94"/>
    </row>
    <row r="719" customFormat="false" ht="12.75" hidden="false" customHeight="false" outlineLevel="0" collapsed="false">
      <c r="K719" s="92"/>
      <c r="M719" s="93"/>
      <c r="N719" s="94"/>
    </row>
    <row r="720" customFormat="false" ht="12.75" hidden="false" customHeight="false" outlineLevel="0" collapsed="false">
      <c r="K720" s="92"/>
      <c r="M720" s="93"/>
      <c r="N720" s="94"/>
    </row>
    <row r="721" customFormat="false" ht="12.75" hidden="false" customHeight="false" outlineLevel="0" collapsed="false">
      <c r="K721" s="92"/>
      <c r="M721" s="93"/>
      <c r="N721" s="94"/>
    </row>
    <row r="722" customFormat="false" ht="12.75" hidden="false" customHeight="false" outlineLevel="0" collapsed="false">
      <c r="K722" s="92"/>
      <c r="M722" s="93"/>
      <c r="N722" s="94"/>
    </row>
    <row r="723" customFormat="false" ht="12.75" hidden="false" customHeight="false" outlineLevel="0" collapsed="false">
      <c r="K723" s="92"/>
      <c r="M723" s="93"/>
      <c r="N723" s="94"/>
    </row>
    <row r="724" customFormat="false" ht="12.75" hidden="false" customHeight="false" outlineLevel="0" collapsed="false">
      <c r="K724" s="92"/>
      <c r="M724" s="93"/>
      <c r="N724" s="94"/>
    </row>
    <row r="725" customFormat="false" ht="12.75" hidden="false" customHeight="false" outlineLevel="0" collapsed="false">
      <c r="K725" s="92"/>
      <c r="M725" s="93"/>
      <c r="N725" s="94"/>
    </row>
    <row r="726" customFormat="false" ht="12.75" hidden="false" customHeight="false" outlineLevel="0" collapsed="false">
      <c r="K726" s="92"/>
      <c r="M726" s="93"/>
      <c r="N726" s="94"/>
    </row>
    <row r="727" customFormat="false" ht="12.75" hidden="false" customHeight="false" outlineLevel="0" collapsed="false">
      <c r="K727" s="92"/>
      <c r="M727" s="93"/>
      <c r="N727" s="94"/>
    </row>
    <row r="728" customFormat="false" ht="12.75" hidden="false" customHeight="false" outlineLevel="0" collapsed="false">
      <c r="K728" s="92"/>
      <c r="M728" s="93"/>
      <c r="N728" s="94"/>
    </row>
    <row r="729" customFormat="false" ht="12.75" hidden="false" customHeight="false" outlineLevel="0" collapsed="false">
      <c r="K729" s="92"/>
      <c r="M729" s="93"/>
      <c r="N729" s="94"/>
    </row>
    <row r="730" customFormat="false" ht="12.75" hidden="false" customHeight="false" outlineLevel="0" collapsed="false">
      <c r="K730" s="92"/>
      <c r="M730" s="93"/>
      <c r="N730" s="94"/>
    </row>
    <row r="731" customFormat="false" ht="12.75" hidden="false" customHeight="false" outlineLevel="0" collapsed="false">
      <c r="K731" s="92"/>
      <c r="M731" s="93"/>
      <c r="N731" s="94"/>
    </row>
    <row r="732" customFormat="false" ht="12.75" hidden="false" customHeight="false" outlineLevel="0" collapsed="false">
      <c r="K732" s="92"/>
      <c r="M732" s="93"/>
      <c r="N732" s="94"/>
    </row>
    <row r="733" customFormat="false" ht="12.75" hidden="false" customHeight="false" outlineLevel="0" collapsed="false">
      <c r="K733" s="92"/>
      <c r="M733" s="93"/>
      <c r="N733" s="94"/>
    </row>
    <row r="734" customFormat="false" ht="12.75" hidden="false" customHeight="false" outlineLevel="0" collapsed="false">
      <c r="K734" s="92"/>
      <c r="M734" s="93"/>
      <c r="N734" s="94"/>
    </row>
    <row r="735" customFormat="false" ht="12.75" hidden="false" customHeight="false" outlineLevel="0" collapsed="false">
      <c r="K735" s="92"/>
      <c r="M735" s="93"/>
      <c r="N735" s="94"/>
    </row>
    <row r="736" customFormat="false" ht="12.75" hidden="false" customHeight="false" outlineLevel="0" collapsed="false">
      <c r="K736" s="92"/>
      <c r="M736" s="93"/>
      <c r="N736" s="94"/>
    </row>
    <row r="737" customFormat="false" ht="12.75" hidden="false" customHeight="false" outlineLevel="0" collapsed="false">
      <c r="K737" s="92"/>
      <c r="M737" s="93"/>
      <c r="N737" s="94"/>
    </row>
    <row r="738" customFormat="false" ht="12.75" hidden="false" customHeight="false" outlineLevel="0" collapsed="false">
      <c r="K738" s="92"/>
      <c r="M738" s="93"/>
      <c r="N738" s="94"/>
    </row>
    <row r="739" customFormat="false" ht="12.75" hidden="false" customHeight="false" outlineLevel="0" collapsed="false">
      <c r="K739" s="92"/>
      <c r="M739" s="93"/>
      <c r="N739" s="94"/>
    </row>
    <row r="740" customFormat="false" ht="12.75" hidden="false" customHeight="false" outlineLevel="0" collapsed="false">
      <c r="K740" s="92"/>
      <c r="M740" s="93"/>
      <c r="N740" s="94"/>
    </row>
    <row r="741" customFormat="false" ht="12.75" hidden="false" customHeight="false" outlineLevel="0" collapsed="false">
      <c r="K741" s="92"/>
      <c r="M741" s="93"/>
      <c r="N741" s="94"/>
    </row>
    <row r="742" customFormat="false" ht="12.75" hidden="false" customHeight="false" outlineLevel="0" collapsed="false">
      <c r="K742" s="92"/>
      <c r="M742" s="93"/>
      <c r="N742" s="94"/>
    </row>
    <row r="743" customFormat="false" ht="12.75" hidden="false" customHeight="false" outlineLevel="0" collapsed="false">
      <c r="K743" s="92"/>
      <c r="M743" s="93"/>
      <c r="N743" s="94"/>
    </row>
    <row r="744" customFormat="false" ht="12.75" hidden="false" customHeight="false" outlineLevel="0" collapsed="false">
      <c r="K744" s="92"/>
      <c r="M744" s="93"/>
      <c r="N744" s="94"/>
    </row>
    <row r="745" customFormat="false" ht="12.75" hidden="false" customHeight="false" outlineLevel="0" collapsed="false">
      <c r="K745" s="92"/>
      <c r="M745" s="93"/>
      <c r="N745" s="94"/>
    </row>
    <row r="746" customFormat="false" ht="12.75" hidden="false" customHeight="false" outlineLevel="0" collapsed="false">
      <c r="K746" s="92"/>
      <c r="M746" s="93"/>
      <c r="N746" s="94"/>
    </row>
    <row r="747" customFormat="false" ht="12.75" hidden="false" customHeight="false" outlineLevel="0" collapsed="false">
      <c r="K747" s="92"/>
      <c r="M747" s="93"/>
      <c r="N747" s="94"/>
    </row>
    <row r="748" customFormat="false" ht="12.75" hidden="false" customHeight="false" outlineLevel="0" collapsed="false">
      <c r="K748" s="92"/>
      <c r="M748" s="93"/>
      <c r="N748" s="94"/>
    </row>
    <row r="749" customFormat="false" ht="12.75" hidden="false" customHeight="false" outlineLevel="0" collapsed="false">
      <c r="K749" s="92"/>
      <c r="M749" s="93"/>
      <c r="N749" s="94"/>
    </row>
    <row r="750" customFormat="false" ht="12.75" hidden="false" customHeight="false" outlineLevel="0" collapsed="false">
      <c r="K750" s="92"/>
      <c r="M750" s="93"/>
      <c r="N750" s="94"/>
    </row>
    <row r="751" customFormat="false" ht="12.75" hidden="false" customHeight="false" outlineLevel="0" collapsed="false">
      <c r="K751" s="92"/>
      <c r="M751" s="93"/>
      <c r="N751" s="94"/>
    </row>
    <row r="752" customFormat="false" ht="12.75" hidden="false" customHeight="false" outlineLevel="0" collapsed="false">
      <c r="K752" s="92"/>
      <c r="M752" s="93"/>
      <c r="N752" s="94"/>
    </row>
    <row r="753" customFormat="false" ht="12.75" hidden="false" customHeight="false" outlineLevel="0" collapsed="false">
      <c r="K753" s="92"/>
      <c r="M753" s="93"/>
      <c r="N753" s="94"/>
    </row>
    <row r="754" customFormat="false" ht="12.75" hidden="false" customHeight="false" outlineLevel="0" collapsed="false">
      <c r="K754" s="92"/>
      <c r="M754" s="93"/>
      <c r="N754" s="94"/>
    </row>
    <row r="755" customFormat="false" ht="12.75" hidden="false" customHeight="false" outlineLevel="0" collapsed="false">
      <c r="K755" s="92"/>
      <c r="M755" s="93"/>
      <c r="N755" s="94"/>
    </row>
    <row r="756" customFormat="false" ht="12.75" hidden="false" customHeight="false" outlineLevel="0" collapsed="false">
      <c r="K756" s="92"/>
      <c r="M756" s="93"/>
      <c r="N756" s="94"/>
    </row>
    <row r="757" customFormat="false" ht="12.75" hidden="false" customHeight="false" outlineLevel="0" collapsed="false">
      <c r="K757" s="92"/>
      <c r="M757" s="93"/>
      <c r="N757" s="94"/>
    </row>
    <row r="758" customFormat="false" ht="12.75" hidden="false" customHeight="false" outlineLevel="0" collapsed="false">
      <c r="K758" s="92"/>
      <c r="M758" s="93"/>
      <c r="N758" s="94"/>
    </row>
    <row r="759" customFormat="false" ht="12.75" hidden="false" customHeight="false" outlineLevel="0" collapsed="false">
      <c r="K759" s="92"/>
      <c r="M759" s="93"/>
      <c r="N759" s="94"/>
    </row>
    <row r="760" customFormat="false" ht="12.75" hidden="false" customHeight="false" outlineLevel="0" collapsed="false">
      <c r="K760" s="92"/>
      <c r="M760" s="93"/>
      <c r="N760" s="94"/>
    </row>
    <row r="761" customFormat="false" ht="12.75" hidden="false" customHeight="false" outlineLevel="0" collapsed="false">
      <c r="K761" s="92"/>
      <c r="M761" s="93"/>
      <c r="N761" s="94"/>
    </row>
    <row r="762" customFormat="false" ht="12.75" hidden="false" customHeight="false" outlineLevel="0" collapsed="false">
      <c r="K762" s="92"/>
      <c r="M762" s="93"/>
      <c r="N762" s="94"/>
    </row>
    <row r="763" customFormat="false" ht="12.75" hidden="false" customHeight="false" outlineLevel="0" collapsed="false">
      <c r="K763" s="92"/>
      <c r="M763" s="93"/>
      <c r="N763" s="94"/>
    </row>
    <row r="764" customFormat="false" ht="12.75" hidden="false" customHeight="false" outlineLevel="0" collapsed="false">
      <c r="K764" s="92"/>
      <c r="M764" s="93"/>
      <c r="N764" s="94"/>
    </row>
    <row r="765" customFormat="false" ht="12.75" hidden="false" customHeight="false" outlineLevel="0" collapsed="false">
      <c r="K765" s="92"/>
      <c r="M765" s="93"/>
      <c r="N765" s="94"/>
    </row>
    <row r="766" customFormat="false" ht="12.75" hidden="false" customHeight="false" outlineLevel="0" collapsed="false">
      <c r="K766" s="92"/>
      <c r="M766" s="93"/>
      <c r="N766" s="94"/>
    </row>
    <row r="767" customFormat="false" ht="12.75" hidden="false" customHeight="false" outlineLevel="0" collapsed="false">
      <c r="K767" s="92"/>
      <c r="M767" s="93"/>
      <c r="N767" s="94"/>
    </row>
    <row r="768" customFormat="false" ht="12.75" hidden="false" customHeight="false" outlineLevel="0" collapsed="false">
      <c r="K768" s="92"/>
      <c r="M768" s="93"/>
      <c r="N768" s="94"/>
    </row>
    <row r="769" customFormat="false" ht="12.75" hidden="false" customHeight="false" outlineLevel="0" collapsed="false">
      <c r="K769" s="92"/>
      <c r="M769" s="93"/>
      <c r="N769" s="94"/>
    </row>
    <row r="770" customFormat="false" ht="12.75" hidden="false" customHeight="false" outlineLevel="0" collapsed="false">
      <c r="K770" s="92"/>
      <c r="M770" s="93"/>
      <c r="N770" s="94"/>
    </row>
    <row r="771" customFormat="false" ht="12.75" hidden="false" customHeight="false" outlineLevel="0" collapsed="false">
      <c r="K771" s="92"/>
      <c r="M771" s="93"/>
      <c r="N771" s="94"/>
    </row>
    <row r="772" customFormat="false" ht="12.75" hidden="false" customHeight="false" outlineLevel="0" collapsed="false">
      <c r="K772" s="92"/>
      <c r="M772" s="93"/>
      <c r="N772" s="94"/>
    </row>
    <row r="773" customFormat="false" ht="12.75" hidden="false" customHeight="false" outlineLevel="0" collapsed="false">
      <c r="K773" s="92"/>
      <c r="M773" s="93"/>
      <c r="N773" s="94"/>
    </row>
    <row r="774" customFormat="false" ht="12.75" hidden="false" customHeight="false" outlineLevel="0" collapsed="false">
      <c r="K774" s="92"/>
      <c r="M774" s="93"/>
      <c r="N774" s="94"/>
    </row>
    <row r="775" customFormat="false" ht="12.75" hidden="false" customHeight="false" outlineLevel="0" collapsed="false">
      <c r="K775" s="92"/>
      <c r="M775" s="93"/>
      <c r="N775" s="94"/>
    </row>
    <row r="776" customFormat="false" ht="12.75" hidden="false" customHeight="false" outlineLevel="0" collapsed="false">
      <c r="K776" s="92"/>
      <c r="M776" s="93"/>
      <c r="N776" s="94"/>
    </row>
    <row r="777" customFormat="false" ht="12.75" hidden="false" customHeight="false" outlineLevel="0" collapsed="false">
      <c r="K777" s="92"/>
      <c r="M777" s="93"/>
      <c r="N777" s="94"/>
    </row>
    <row r="778" customFormat="false" ht="12.75" hidden="false" customHeight="false" outlineLevel="0" collapsed="false">
      <c r="K778" s="92"/>
      <c r="M778" s="93"/>
      <c r="N778" s="94"/>
    </row>
    <row r="779" customFormat="false" ht="12.75" hidden="false" customHeight="false" outlineLevel="0" collapsed="false">
      <c r="K779" s="92"/>
      <c r="M779" s="93"/>
      <c r="N779" s="94"/>
    </row>
    <row r="780" customFormat="false" ht="12.75" hidden="false" customHeight="false" outlineLevel="0" collapsed="false">
      <c r="K780" s="92"/>
      <c r="M780" s="93"/>
      <c r="N780" s="94"/>
    </row>
    <row r="781" customFormat="false" ht="12.75" hidden="false" customHeight="false" outlineLevel="0" collapsed="false">
      <c r="K781" s="92"/>
      <c r="M781" s="93"/>
      <c r="N781" s="94"/>
    </row>
    <row r="782" customFormat="false" ht="12.75" hidden="false" customHeight="false" outlineLevel="0" collapsed="false">
      <c r="K782" s="92"/>
      <c r="M782" s="93"/>
      <c r="N782" s="94"/>
    </row>
    <row r="783" customFormat="false" ht="12.75" hidden="false" customHeight="false" outlineLevel="0" collapsed="false">
      <c r="K783" s="92"/>
      <c r="M783" s="93"/>
      <c r="N783" s="94"/>
    </row>
    <row r="784" customFormat="false" ht="12.75" hidden="false" customHeight="false" outlineLevel="0" collapsed="false">
      <c r="K784" s="92"/>
      <c r="M784" s="93"/>
      <c r="N784" s="94"/>
    </row>
    <row r="785" customFormat="false" ht="12.75" hidden="false" customHeight="false" outlineLevel="0" collapsed="false">
      <c r="K785" s="92"/>
      <c r="M785" s="93"/>
      <c r="N785" s="94"/>
    </row>
    <row r="786" customFormat="false" ht="12.75" hidden="false" customHeight="false" outlineLevel="0" collapsed="false">
      <c r="K786" s="92"/>
      <c r="M786" s="93"/>
      <c r="N786" s="94"/>
    </row>
    <row r="787" customFormat="false" ht="12.75" hidden="false" customHeight="false" outlineLevel="0" collapsed="false">
      <c r="K787" s="92"/>
      <c r="M787" s="93"/>
      <c r="N787" s="94"/>
    </row>
    <row r="788" customFormat="false" ht="12.75" hidden="false" customHeight="false" outlineLevel="0" collapsed="false">
      <c r="K788" s="92"/>
      <c r="M788" s="93"/>
      <c r="N788" s="94"/>
    </row>
    <row r="789" customFormat="false" ht="12.75" hidden="false" customHeight="false" outlineLevel="0" collapsed="false">
      <c r="K789" s="92"/>
      <c r="M789" s="93"/>
      <c r="N789" s="94"/>
    </row>
    <row r="790" customFormat="false" ht="12.75" hidden="false" customHeight="false" outlineLevel="0" collapsed="false">
      <c r="K790" s="92"/>
      <c r="M790" s="93"/>
      <c r="N790" s="94"/>
    </row>
    <row r="791" customFormat="false" ht="12.75" hidden="false" customHeight="false" outlineLevel="0" collapsed="false">
      <c r="K791" s="92"/>
      <c r="M791" s="93"/>
      <c r="N791" s="94"/>
    </row>
    <row r="792" customFormat="false" ht="12.75" hidden="false" customHeight="false" outlineLevel="0" collapsed="false">
      <c r="K792" s="92"/>
      <c r="M792" s="93"/>
      <c r="N792" s="94"/>
    </row>
    <row r="793" customFormat="false" ht="12.75" hidden="false" customHeight="false" outlineLevel="0" collapsed="false">
      <c r="K793" s="92"/>
      <c r="M793" s="93"/>
      <c r="N793" s="94"/>
    </row>
    <row r="794" customFormat="false" ht="12.75" hidden="false" customHeight="false" outlineLevel="0" collapsed="false">
      <c r="K794" s="92"/>
      <c r="M794" s="93"/>
      <c r="N794" s="94"/>
    </row>
    <row r="795" customFormat="false" ht="12.75" hidden="false" customHeight="false" outlineLevel="0" collapsed="false">
      <c r="K795" s="92"/>
      <c r="M795" s="93"/>
      <c r="N795" s="94"/>
    </row>
    <row r="796" customFormat="false" ht="12.75" hidden="false" customHeight="false" outlineLevel="0" collapsed="false">
      <c r="K796" s="92"/>
      <c r="M796" s="93"/>
      <c r="N796" s="94"/>
    </row>
    <row r="797" customFormat="false" ht="12.75" hidden="false" customHeight="false" outlineLevel="0" collapsed="false">
      <c r="K797" s="92"/>
      <c r="M797" s="93"/>
      <c r="N797" s="94"/>
    </row>
    <row r="798" customFormat="false" ht="12.75" hidden="false" customHeight="false" outlineLevel="0" collapsed="false">
      <c r="K798" s="92"/>
      <c r="M798" s="93"/>
      <c r="N798" s="94"/>
    </row>
    <row r="799" customFormat="false" ht="12.75" hidden="false" customHeight="false" outlineLevel="0" collapsed="false">
      <c r="K799" s="92"/>
      <c r="M799" s="93"/>
      <c r="N799" s="94"/>
    </row>
    <row r="800" customFormat="false" ht="12.75" hidden="false" customHeight="false" outlineLevel="0" collapsed="false">
      <c r="K800" s="92"/>
      <c r="M800" s="93"/>
      <c r="N800" s="94"/>
    </row>
    <row r="801" customFormat="false" ht="12.75" hidden="false" customHeight="false" outlineLevel="0" collapsed="false">
      <c r="K801" s="92"/>
      <c r="M801" s="93"/>
      <c r="N801" s="94"/>
    </row>
    <row r="802" customFormat="false" ht="12.75" hidden="false" customHeight="false" outlineLevel="0" collapsed="false">
      <c r="K802" s="92"/>
      <c r="M802" s="93"/>
      <c r="N802" s="94"/>
    </row>
    <row r="803" customFormat="false" ht="12.75" hidden="false" customHeight="false" outlineLevel="0" collapsed="false">
      <c r="K803" s="92"/>
      <c r="M803" s="93"/>
      <c r="N803" s="94"/>
    </row>
    <row r="804" customFormat="false" ht="12.75" hidden="false" customHeight="false" outlineLevel="0" collapsed="false">
      <c r="K804" s="92"/>
      <c r="M804" s="93"/>
      <c r="N804" s="94"/>
    </row>
    <row r="805" customFormat="false" ht="12.75" hidden="false" customHeight="false" outlineLevel="0" collapsed="false">
      <c r="K805" s="92"/>
      <c r="M805" s="93"/>
      <c r="N805" s="94"/>
    </row>
    <row r="806" customFormat="false" ht="12.75" hidden="false" customHeight="false" outlineLevel="0" collapsed="false">
      <c r="K806" s="92"/>
      <c r="M806" s="93"/>
      <c r="N806" s="94"/>
    </row>
    <row r="807" customFormat="false" ht="12.75" hidden="false" customHeight="false" outlineLevel="0" collapsed="false">
      <c r="K807" s="92"/>
      <c r="M807" s="93"/>
      <c r="N807" s="94"/>
    </row>
    <row r="808" customFormat="false" ht="12.75" hidden="false" customHeight="false" outlineLevel="0" collapsed="false">
      <c r="K808" s="92"/>
      <c r="M808" s="93"/>
      <c r="N808" s="94"/>
    </row>
    <row r="809" customFormat="false" ht="12.75" hidden="false" customHeight="false" outlineLevel="0" collapsed="false">
      <c r="K809" s="92"/>
      <c r="M809" s="93"/>
      <c r="N809" s="94"/>
    </row>
    <row r="810" customFormat="false" ht="12.75" hidden="false" customHeight="false" outlineLevel="0" collapsed="false">
      <c r="K810" s="92"/>
      <c r="M810" s="93"/>
      <c r="N810" s="94"/>
    </row>
    <row r="811" customFormat="false" ht="12.75" hidden="false" customHeight="false" outlineLevel="0" collapsed="false">
      <c r="K811" s="92"/>
      <c r="M811" s="93"/>
      <c r="N811" s="94"/>
    </row>
    <row r="812" customFormat="false" ht="12.75" hidden="false" customHeight="false" outlineLevel="0" collapsed="false">
      <c r="K812" s="92"/>
      <c r="M812" s="93"/>
      <c r="N812" s="94"/>
    </row>
    <row r="813" customFormat="false" ht="12.75" hidden="false" customHeight="false" outlineLevel="0" collapsed="false">
      <c r="K813" s="92"/>
      <c r="M813" s="93"/>
      <c r="N813" s="94"/>
    </row>
    <row r="814" customFormat="false" ht="12.75" hidden="false" customHeight="false" outlineLevel="0" collapsed="false">
      <c r="K814" s="92"/>
      <c r="M814" s="93"/>
      <c r="N814" s="94"/>
    </row>
    <row r="815" customFormat="false" ht="12.75" hidden="false" customHeight="false" outlineLevel="0" collapsed="false">
      <c r="K815" s="92"/>
      <c r="M815" s="93"/>
      <c r="N815" s="94"/>
    </row>
    <row r="816" customFormat="false" ht="12.75" hidden="false" customHeight="false" outlineLevel="0" collapsed="false">
      <c r="K816" s="92"/>
      <c r="M816" s="93"/>
      <c r="N816" s="94"/>
    </row>
    <row r="817" customFormat="false" ht="12.75" hidden="false" customHeight="false" outlineLevel="0" collapsed="false">
      <c r="K817" s="92"/>
      <c r="M817" s="93"/>
      <c r="N817" s="94"/>
    </row>
    <row r="818" customFormat="false" ht="12.75" hidden="false" customHeight="false" outlineLevel="0" collapsed="false">
      <c r="K818" s="92"/>
      <c r="M818" s="93"/>
      <c r="N818" s="94"/>
    </row>
    <row r="819" customFormat="false" ht="12.75" hidden="false" customHeight="false" outlineLevel="0" collapsed="false">
      <c r="K819" s="92"/>
      <c r="M819" s="93"/>
      <c r="N819" s="94"/>
    </row>
    <row r="820" customFormat="false" ht="12.75" hidden="false" customHeight="false" outlineLevel="0" collapsed="false">
      <c r="K820" s="92"/>
      <c r="M820" s="93"/>
      <c r="N820" s="94"/>
    </row>
    <row r="821" customFormat="false" ht="12.75" hidden="false" customHeight="false" outlineLevel="0" collapsed="false">
      <c r="K821" s="92"/>
      <c r="M821" s="93"/>
      <c r="N821" s="94"/>
    </row>
    <row r="822" customFormat="false" ht="12.75" hidden="false" customHeight="false" outlineLevel="0" collapsed="false">
      <c r="K822" s="92"/>
      <c r="M822" s="93"/>
      <c r="N822" s="94"/>
    </row>
    <row r="823" customFormat="false" ht="12.75" hidden="false" customHeight="false" outlineLevel="0" collapsed="false">
      <c r="K823" s="92"/>
      <c r="M823" s="93"/>
      <c r="N823" s="94"/>
    </row>
    <row r="824" customFormat="false" ht="12.75" hidden="false" customHeight="false" outlineLevel="0" collapsed="false">
      <c r="K824" s="92"/>
      <c r="M824" s="93"/>
      <c r="N824" s="94"/>
    </row>
    <row r="825" customFormat="false" ht="12.75" hidden="false" customHeight="false" outlineLevel="0" collapsed="false">
      <c r="K825" s="92"/>
      <c r="M825" s="93"/>
      <c r="N825" s="94"/>
    </row>
    <row r="826" customFormat="false" ht="12.75" hidden="false" customHeight="false" outlineLevel="0" collapsed="false">
      <c r="K826" s="92"/>
      <c r="M826" s="93"/>
      <c r="N826" s="94"/>
    </row>
    <row r="827" customFormat="false" ht="12.75" hidden="false" customHeight="false" outlineLevel="0" collapsed="false">
      <c r="K827" s="92"/>
      <c r="M827" s="93"/>
      <c r="N827" s="94"/>
    </row>
    <row r="828" customFormat="false" ht="12.75" hidden="false" customHeight="false" outlineLevel="0" collapsed="false">
      <c r="K828" s="92"/>
      <c r="M828" s="93"/>
      <c r="N828" s="94"/>
    </row>
    <row r="829" customFormat="false" ht="12.75" hidden="false" customHeight="false" outlineLevel="0" collapsed="false">
      <c r="K829" s="92"/>
      <c r="M829" s="93"/>
      <c r="N829" s="94"/>
    </row>
    <row r="830" customFormat="false" ht="12.75" hidden="false" customHeight="false" outlineLevel="0" collapsed="false">
      <c r="K830" s="92"/>
      <c r="M830" s="93"/>
      <c r="N830" s="94"/>
    </row>
    <row r="831" customFormat="false" ht="12.75" hidden="false" customHeight="false" outlineLevel="0" collapsed="false">
      <c r="K831" s="92"/>
      <c r="M831" s="93"/>
      <c r="N831" s="94"/>
    </row>
    <row r="832" customFormat="false" ht="12.75" hidden="false" customHeight="false" outlineLevel="0" collapsed="false">
      <c r="K832" s="92"/>
      <c r="M832" s="93"/>
      <c r="N832" s="94"/>
    </row>
    <row r="833" customFormat="false" ht="12.75" hidden="false" customHeight="false" outlineLevel="0" collapsed="false">
      <c r="K833" s="92"/>
      <c r="M833" s="93"/>
      <c r="N833" s="94"/>
    </row>
    <row r="834" customFormat="false" ht="12.75" hidden="false" customHeight="false" outlineLevel="0" collapsed="false">
      <c r="K834" s="92"/>
      <c r="M834" s="93"/>
      <c r="N834" s="94"/>
    </row>
    <row r="835" customFormat="false" ht="12.75" hidden="false" customHeight="false" outlineLevel="0" collapsed="false">
      <c r="K835" s="92"/>
      <c r="M835" s="93"/>
      <c r="N835" s="94"/>
    </row>
    <row r="836" customFormat="false" ht="12.75" hidden="false" customHeight="false" outlineLevel="0" collapsed="false">
      <c r="K836" s="92"/>
      <c r="M836" s="93"/>
      <c r="N836" s="94"/>
    </row>
    <row r="837" customFormat="false" ht="12.75" hidden="false" customHeight="false" outlineLevel="0" collapsed="false">
      <c r="K837" s="92"/>
      <c r="M837" s="93"/>
      <c r="N837" s="94"/>
    </row>
    <row r="838" customFormat="false" ht="12.75" hidden="false" customHeight="false" outlineLevel="0" collapsed="false">
      <c r="K838" s="92"/>
      <c r="M838" s="93"/>
      <c r="N838" s="94"/>
    </row>
    <row r="839" customFormat="false" ht="12.75" hidden="false" customHeight="false" outlineLevel="0" collapsed="false">
      <c r="K839" s="92"/>
      <c r="M839" s="93"/>
      <c r="N839" s="94"/>
    </row>
    <row r="840" customFormat="false" ht="12.75" hidden="false" customHeight="false" outlineLevel="0" collapsed="false">
      <c r="K840" s="92"/>
      <c r="M840" s="93"/>
      <c r="N840" s="94"/>
    </row>
    <row r="841" customFormat="false" ht="12.75" hidden="false" customHeight="false" outlineLevel="0" collapsed="false">
      <c r="K841" s="92"/>
      <c r="M841" s="93"/>
      <c r="N841" s="94"/>
    </row>
    <row r="842" customFormat="false" ht="12.75" hidden="false" customHeight="false" outlineLevel="0" collapsed="false">
      <c r="K842" s="92"/>
      <c r="M842" s="93"/>
      <c r="N842" s="94"/>
    </row>
    <row r="843" customFormat="false" ht="12.75" hidden="false" customHeight="false" outlineLevel="0" collapsed="false">
      <c r="K843" s="92"/>
      <c r="M843" s="93"/>
      <c r="N843" s="94"/>
    </row>
    <row r="844" customFormat="false" ht="12.75" hidden="false" customHeight="false" outlineLevel="0" collapsed="false">
      <c r="K844" s="92"/>
      <c r="M844" s="93"/>
      <c r="N844" s="94"/>
    </row>
    <row r="845" customFormat="false" ht="12.75" hidden="false" customHeight="false" outlineLevel="0" collapsed="false">
      <c r="K845" s="92"/>
      <c r="M845" s="93"/>
      <c r="N845" s="94"/>
    </row>
    <row r="846" customFormat="false" ht="12.75" hidden="false" customHeight="false" outlineLevel="0" collapsed="false">
      <c r="K846" s="92"/>
      <c r="M846" s="93"/>
      <c r="N846" s="94"/>
    </row>
    <row r="847" customFormat="false" ht="12.75" hidden="false" customHeight="false" outlineLevel="0" collapsed="false">
      <c r="M847" s="93"/>
      <c r="N847" s="94"/>
    </row>
    <row r="848" customFormat="false" ht="12.75" hidden="false" customHeight="false" outlineLevel="0" collapsed="false">
      <c r="M848" s="93"/>
      <c r="N848" s="94"/>
    </row>
    <row r="849" customFormat="false" ht="12.75" hidden="false" customHeight="false" outlineLevel="0" collapsed="false">
      <c r="M849" s="93"/>
      <c r="N849" s="94"/>
    </row>
    <row r="850" customFormat="false" ht="12.75" hidden="false" customHeight="false" outlineLevel="0" collapsed="false">
      <c r="M850" s="93"/>
      <c r="N850" s="94"/>
    </row>
    <row r="851" customFormat="false" ht="12.75" hidden="false" customHeight="false" outlineLevel="0" collapsed="false">
      <c r="M851" s="93"/>
      <c r="N851" s="94"/>
    </row>
    <row r="852" customFormat="false" ht="12.75" hidden="false" customHeight="false" outlineLevel="0" collapsed="false">
      <c r="M852" s="93"/>
      <c r="N852" s="94"/>
    </row>
    <row r="853" customFormat="false" ht="12.75" hidden="false" customHeight="false" outlineLevel="0" collapsed="false">
      <c r="M853" s="93"/>
      <c r="N853" s="94"/>
    </row>
    <row r="854" customFormat="false" ht="12.75" hidden="false" customHeight="false" outlineLevel="0" collapsed="false">
      <c r="M854" s="93"/>
      <c r="N854" s="94"/>
    </row>
    <row r="855" customFormat="false" ht="12.75" hidden="false" customHeight="false" outlineLevel="0" collapsed="false">
      <c r="M855" s="93"/>
      <c r="N855" s="94"/>
    </row>
    <row r="856" customFormat="false" ht="12.75" hidden="false" customHeight="false" outlineLevel="0" collapsed="false">
      <c r="M856" s="93"/>
      <c r="N856" s="94"/>
    </row>
    <row r="857" customFormat="false" ht="12.75" hidden="false" customHeight="false" outlineLevel="0" collapsed="false">
      <c r="M857" s="93"/>
      <c r="N857" s="94"/>
    </row>
    <row r="858" customFormat="false" ht="12.75" hidden="false" customHeight="false" outlineLevel="0" collapsed="false">
      <c r="M858" s="93"/>
      <c r="N858" s="94"/>
    </row>
    <row r="859" customFormat="false" ht="12.75" hidden="false" customHeight="false" outlineLevel="0" collapsed="false">
      <c r="M859" s="93"/>
      <c r="N859" s="94"/>
    </row>
    <row r="860" customFormat="false" ht="12.75" hidden="false" customHeight="false" outlineLevel="0" collapsed="false">
      <c r="M860" s="93"/>
      <c r="N860" s="94"/>
    </row>
    <row r="861" customFormat="false" ht="12.75" hidden="false" customHeight="false" outlineLevel="0" collapsed="false">
      <c r="M861" s="93"/>
      <c r="N861" s="94"/>
    </row>
    <row r="862" customFormat="false" ht="12.75" hidden="false" customHeight="false" outlineLevel="0" collapsed="false">
      <c r="M862" s="93"/>
      <c r="N862" s="94"/>
    </row>
    <row r="863" customFormat="false" ht="12.75" hidden="false" customHeight="false" outlineLevel="0" collapsed="false">
      <c r="M863" s="93"/>
      <c r="N863" s="94"/>
    </row>
    <row r="864" customFormat="false" ht="12.75" hidden="false" customHeight="false" outlineLevel="0" collapsed="false">
      <c r="M864" s="93"/>
      <c r="N864" s="94"/>
    </row>
    <row r="865" customFormat="false" ht="12.75" hidden="false" customHeight="false" outlineLevel="0" collapsed="false">
      <c r="M865" s="93"/>
      <c r="N865" s="94"/>
    </row>
    <row r="866" customFormat="false" ht="12.75" hidden="false" customHeight="false" outlineLevel="0" collapsed="false">
      <c r="M866" s="93"/>
      <c r="N866" s="94"/>
    </row>
    <row r="867" customFormat="false" ht="12.75" hidden="false" customHeight="false" outlineLevel="0" collapsed="false">
      <c r="M867" s="93"/>
      <c r="N867" s="94"/>
    </row>
    <row r="868" customFormat="false" ht="12.75" hidden="false" customHeight="false" outlineLevel="0" collapsed="false">
      <c r="M868" s="93"/>
      <c r="N868" s="94"/>
    </row>
    <row r="869" customFormat="false" ht="12.75" hidden="false" customHeight="false" outlineLevel="0" collapsed="false">
      <c r="M869" s="93"/>
      <c r="N869" s="94"/>
    </row>
    <row r="870" customFormat="false" ht="12.75" hidden="false" customHeight="false" outlineLevel="0" collapsed="false">
      <c r="M870" s="93"/>
      <c r="N870" s="94"/>
    </row>
    <row r="871" customFormat="false" ht="12.75" hidden="false" customHeight="false" outlineLevel="0" collapsed="false">
      <c r="M871" s="93"/>
      <c r="N871" s="94"/>
    </row>
    <row r="872" customFormat="false" ht="12.75" hidden="false" customHeight="false" outlineLevel="0" collapsed="false">
      <c r="M872" s="93"/>
      <c r="N872" s="94"/>
    </row>
    <row r="873" customFormat="false" ht="12.75" hidden="false" customHeight="false" outlineLevel="0" collapsed="false">
      <c r="M873" s="93"/>
      <c r="N873" s="94"/>
    </row>
    <row r="874" customFormat="false" ht="12.75" hidden="false" customHeight="false" outlineLevel="0" collapsed="false">
      <c r="M874" s="93"/>
      <c r="N874" s="94"/>
    </row>
    <row r="875" customFormat="false" ht="12.75" hidden="false" customHeight="false" outlineLevel="0" collapsed="false">
      <c r="M875" s="93"/>
      <c r="N875" s="94"/>
    </row>
    <row r="876" customFormat="false" ht="12.75" hidden="false" customHeight="false" outlineLevel="0" collapsed="false">
      <c r="M876" s="93"/>
      <c r="N876" s="94"/>
    </row>
    <row r="877" customFormat="false" ht="12.75" hidden="false" customHeight="false" outlineLevel="0" collapsed="false">
      <c r="M877" s="93"/>
      <c r="N877" s="94"/>
    </row>
    <row r="878" customFormat="false" ht="12.75" hidden="false" customHeight="false" outlineLevel="0" collapsed="false">
      <c r="M878" s="93"/>
      <c r="N878" s="94"/>
    </row>
    <row r="879" customFormat="false" ht="12.75" hidden="false" customHeight="false" outlineLevel="0" collapsed="false">
      <c r="M879" s="93"/>
      <c r="N879" s="94"/>
    </row>
    <row r="880" customFormat="false" ht="12.75" hidden="false" customHeight="false" outlineLevel="0" collapsed="false">
      <c r="M880" s="93"/>
      <c r="N880" s="94"/>
    </row>
    <row r="881" customFormat="false" ht="12.75" hidden="false" customHeight="false" outlineLevel="0" collapsed="false">
      <c r="M881" s="93"/>
      <c r="N881" s="94"/>
    </row>
    <row r="882" customFormat="false" ht="12.75" hidden="false" customHeight="false" outlineLevel="0" collapsed="false">
      <c r="M882" s="93"/>
      <c r="N882" s="94"/>
    </row>
    <row r="883" customFormat="false" ht="12.75" hidden="false" customHeight="false" outlineLevel="0" collapsed="false">
      <c r="M883" s="93"/>
      <c r="N883" s="94"/>
    </row>
    <row r="884" customFormat="false" ht="12.75" hidden="false" customHeight="false" outlineLevel="0" collapsed="false">
      <c r="M884" s="93"/>
      <c r="N884" s="94"/>
    </row>
    <row r="885" customFormat="false" ht="12.75" hidden="false" customHeight="false" outlineLevel="0" collapsed="false">
      <c r="M885" s="93"/>
      <c r="N885" s="94"/>
    </row>
    <row r="886" customFormat="false" ht="12.75" hidden="false" customHeight="false" outlineLevel="0" collapsed="false">
      <c r="M886" s="93"/>
      <c r="N886" s="94"/>
    </row>
    <row r="887" customFormat="false" ht="12.75" hidden="false" customHeight="false" outlineLevel="0" collapsed="false">
      <c r="M887" s="93"/>
      <c r="N887" s="94"/>
    </row>
    <row r="888" customFormat="false" ht="12.75" hidden="false" customHeight="false" outlineLevel="0" collapsed="false">
      <c r="M888" s="93"/>
      <c r="N888" s="94"/>
    </row>
    <row r="889" customFormat="false" ht="12.75" hidden="false" customHeight="false" outlineLevel="0" collapsed="false">
      <c r="M889" s="93"/>
      <c r="N889" s="94"/>
    </row>
    <row r="890" customFormat="false" ht="12.75" hidden="false" customHeight="false" outlineLevel="0" collapsed="false">
      <c r="M890" s="93"/>
      <c r="N890" s="94"/>
    </row>
    <row r="891" customFormat="false" ht="12.75" hidden="false" customHeight="false" outlineLevel="0" collapsed="false">
      <c r="M891" s="93"/>
      <c r="N891" s="94"/>
    </row>
    <row r="892" customFormat="false" ht="12.75" hidden="false" customHeight="false" outlineLevel="0" collapsed="false">
      <c r="M892" s="93"/>
      <c r="N892" s="94"/>
    </row>
    <row r="893" customFormat="false" ht="12.75" hidden="false" customHeight="false" outlineLevel="0" collapsed="false">
      <c r="M893" s="93"/>
      <c r="N893" s="94"/>
    </row>
    <row r="894" customFormat="false" ht="12.75" hidden="false" customHeight="false" outlineLevel="0" collapsed="false">
      <c r="M894" s="93"/>
      <c r="N894" s="94"/>
    </row>
    <row r="895" customFormat="false" ht="12.75" hidden="false" customHeight="false" outlineLevel="0" collapsed="false">
      <c r="M895" s="93"/>
      <c r="N895" s="94"/>
    </row>
    <row r="896" customFormat="false" ht="12.75" hidden="false" customHeight="false" outlineLevel="0" collapsed="false">
      <c r="M896" s="93"/>
      <c r="N896" s="94"/>
    </row>
    <row r="897" customFormat="false" ht="12.75" hidden="false" customHeight="false" outlineLevel="0" collapsed="false">
      <c r="M897" s="93"/>
      <c r="N897" s="94"/>
    </row>
    <row r="898" customFormat="false" ht="12.75" hidden="false" customHeight="false" outlineLevel="0" collapsed="false">
      <c r="M898" s="93"/>
      <c r="N898" s="94"/>
    </row>
    <row r="899" customFormat="false" ht="12.75" hidden="false" customHeight="false" outlineLevel="0" collapsed="false">
      <c r="M899" s="93"/>
      <c r="N899" s="94"/>
    </row>
    <row r="900" customFormat="false" ht="12.75" hidden="false" customHeight="false" outlineLevel="0" collapsed="false">
      <c r="M900" s="93"/>
      <c r="N900" s="94"/>
    </row>
    <row r="901" customFormat="false" ht="12.75" hidden="false" customHeight="false" outlineLevel="0" collapsed="false">
      <c r="M901" s="93"/>
      <c r="N901" s="94"/>
    </row>
    <row r="902" customFormat="false" ht="12.75" hidden="false" customHeight="false" outlineLevel="0" collapsed="false">
      <c r="M902" s="93"/>
      <c r="N902" s="94"/>
    </row>
    <row r="903" customFormat="false" ht="12.75" hidden="false" customHeight="false" outlineLevel="0" collapsed="false">
      <c r="M903" s="93"/>
      <c r="N903" s="94"/>
    </row>
    <row r="904" customFormat="false" ht="12.75" hidden="false" customHeight="false" outlineLevel="0" collapsed="false">
      <c r="M904" s="93"/>
      <c r="N904" s="94"/>
    </row>
    <row r="905" customFormat="false" ht="12.75" hidden="false" customHeight="false" outlineLevel="0" collapsed="false">
      <c r="M905" s="93"/>
      <c r="N905" s="94"/>
    </row>
    <row r="906" customFormat="false" ht="12.75" hidden="false" customHeight="false" outlineLevel="0" collapsed="false">
      <c r="M906" s="93"/>
      <c r="N906" s="94"/>
    </row>
    <row r="907" customFormat="false" ht="12.75" hidden="false" customHeight="false" outlineLevel="0" collapsed="false">
      <c r="M907" s="93"/>
      <c r="N907" s="94"/>
    </row>
    <row r="908" customFormat="false" ht="12.75" hidden="false" customHeight="false" outlineLevel="0" collapsed="false">
      <c r="M908" s="93"/>
      <c r="N908" s="94"/>
    </row>
    <row r="909" customFormat="false" ht="12.75" hidden="false" customHeight="false" outlineLevel="0" collapsed="false">
      <c r="M909" s="93"/>
      <c r="N909" s="94"/>
    </row>
    <row r="910" customFormat="false" ht="12.75" hidden="false" customHeight="false" outlineLevel="0" collapsed="false">
      <c r="M910" s="93"/>
      <c r="N910" s="94"/>
    </row>
    <row r="911" customFormat="false" ht="12.75" hidden="false" customHeight="false" outlineLevel="0" collapsed="false">
      <c r="M911" s="93"/>
      <c r="N911" s="94"/>
    </row>
    <row r="912" customFormat="false" ht="12.75" hidden="false" customHeight="false" outlineLevel="0" collapsed="false">
      <c r="M912" s="93"/>
      <c r="N912" s="94"/>
    </row>
    <row r="913" customFormat="false" ht="12.75" hidden="false" customHeight="false" outlineLevel="0" collapsed="false">
      <c r="M913" s="93"/>
      <c r="N913" s="94"/>
    </row>
    <row r="914" customFormat="false" ht="12.75" hidden="false" customHeight="false" outlineLevel="0" collapsed="false">
      <c r="M914" s="93"/>
      <c r="N914" s="94"/>
    </row>
    <row r="915" customFormat="false" ht="12.75" hidden="false" customHeight="false" outlineLevel="0" collapsed="false">
      <c r="M915" s="93"/>
      <c r="N915" s="94"/>
    </row>
    <row r="916" customFormat="false" ht="12.75" hidden="false" customHeight="false" outlineLevel="0" collapsed="false">
      <c r="M916" s="93"/>
      <c r="N916" s="94"/>
    </row>
    <row r="917" customFormat="false" ht="12.75" hidden="false" customHeight="false" outlineLevel="0" collapsed="false">
      <c r="M917" s="93"/>
      <c r="N917" s="94"/>
    </row>
    <row r="918" customFormat="false" ht="12.75" hidden="false" customHeight="false" outlineLevel="0" collapsed="false">
      <c r="M918" s="93"/>
      <c r="N918" s="94"/>
    </row>
    <row r="919" customFormat="false" ht="12.75" hidden="false" customHeight="false" outlineLevel="0" collapsed="false">
      <c r="M919" s="93"/>
      <c r="N919" s="94"/>
    </row>
    <row r="920" customFormat="false" ht="12.75" hidden="false" customHeight="false" outlineLevel="0" collapsed="false">
      <c r="M920" s="93"/>
      <c r="N920" s="94"/>
    </row>
    <row r="921" customFormat="false" ht="12.75" hidden="false" customHeight="false" outlineLevel="0" collapsed="false">
      <c r="M921" s="93"/>
      <c r="N921" s="94"/>
    </row>
    <row r="922" customFormat="false" ht="12.75" hidden="false" customHeight="false" outlineLevel="0" collapsed="false">
      <c r="M922" s="93"/>
      <c r="N922" s="94"/>
    </row>
    <row r="923" customFormat="false" ht="12.75" hidden="false" customHeight="false" outlineLevel="0" collapsed="false">
      <c r="M923" s="93"/>
      <c r="N923" s="94"/>
    </row>
    <row r="924" customFormat="false" ht="12.75" hidden="false" customHeight="false" outlineLevel="0" collapsed="false">
      <c r="M924" s="93"/>
      <c r="N924" s="94"/>
    </row>
    <row r="925" customFormat="false" ht="12.75" hidden="false" customHeight="false" outlineLevel="0" collapsed="false">
      <c r="M925" s="93"/>
      <c r="N925" s="94"/>
    </row>
    <row r="926" customFormat="false" ht="12.75" hidden="false" customHeight="false" outlineLevel="0" collapsed="false">
      <c r="M926" s="93"/>
      <c r="N926" s="94"/>
    </row>
    <row r="927" customFormat="false" ht="12.75" hidden="false" customHeight="false" outlineLevel="0" collapsed="false">
      <c r="M927" s="93"/>
      <c r="N927" s="94"/>
    </row>
    <row r="928" customFormat="false" ht="12.75" hidden="false" customHeight="false" outlineLevel="0" collapsed="false">
      <c r="M928" s="93"/>
      <c r="N928" s="94"/>
    </row>
    <row r="929" customFormat="false" ht="12.75" hidden="false" customHeight="false" outlineLevel="0" collapsed="false">
      <c r="M929" s="93"/>
      <c r="N929" s="94"/>
    </row>
    <row r="930" customFormat="false" ht="12.75" hidden="false" customHeight="false" outlineLevel="0" collapsed="false">
      <c r="M930" s="93"/>
      <c r="N930" s="94"/>
    </row>
    <row r="931" customFormat="false" ht="12.75" hidden="false" customHeight="false" outlineLevel="0" collapsed="false">
      <c r="M931" s="93"/>
      <c r="N931" s="94"/>
    </row>
    <row r="932" customFormat="false" ht="12.75" hidden="false" customHeight="false" outlineLevel="0" collapsed="false">
      <c r="M932" s="93"/>
      <c r="N932" s="94"/>
    </row>
    <row r="933" customFormat="false" ht="12.75" hidden="false" customHeight="false" outlineLevel="0" collapsed="false">
      <c r="M933" s="93"/>
      <c r="N933" s="94"/>
    </row>
    <row r="934" customFormat="false" ht="12.75" hidden="false" customHeight="false" outlineLevel="0" collapsed="false">
      <c r="M934" s="93"/>
      <c r="N934" s="94"/>
    </row>
    <row r="935" customFormat="false" ht="12.75" hidden="false" customHeight="false" outlineLevel="0" collapsed="false">
      <c r="M935" s="93"/>
      <c r="N935" s="94"/>
    </row>
    <row r="936" customFormat="false" ht="12.75" hidden="false" customHeight="false" outlineLevel="0" collapsed="false">
      <c r="M936" s="93"/>
      <c r="N936" s="94"/>
    </row>
    <row r="937" customFormat="false" ht="12.75" hidden="false" customHeight="false" outlineLevel="0" collapsed="false">
      <c r="M937" s="93"/>
      <c r="N937" s="94"/>
    </row>
    <row r="938" customFormat="false" ht="12.75" hidden="false" customHeight="false" outlineLevel="0" collapsed="false">
      <c r="M938" s="93"/>
      <c r="N938" s="94"/>
    </row>
    <row r="939" customFormat="false" ht="12.75" hidden="false" customHeight="false" outlineLevel="0" collapsed="false">
      <c r="M939" s="93"/>
      <c r="N939" s="94"/>
    </row>
    <row r="940" customFormat="false" ht="12.75" hidden="false" customHeight="false" outlineLevel="0" collapsed="false">
      <c r="M940" s="93"/>
      <c r="N940" s="94"/>
    </row>
    <row r="941" customFormat="false" ht="12.75" hidden="false" customHeight="false" outlineLevel="0" collapsed="false">
      <c r="M941" s="93"/>
      <c r="N941" s="94"/>
    </row>
    <row r="942" customFormat="false" ht="12.75" hidden="false" customHeight="false" outlineLevel="0" collapsed="false">
      <c r="M942" s="93"/>
      <c r="N942" s="94"/>
    </row>
    <row r="943" customFormat="false" ht="12.75" hidden="false" customHeight="false" outlineLevel="0" collapsed="false">
      <c r="M943" s="93"/>
      <c r="N943" s="94"/>
    </row>
    <row r="944" customFormat="false" ht="12.75" hidden="false" customHeight="false" outlineLevel="0" collapsed="false">
      <c r="M944" s="93"/>
      <c r="N944" s="94"/>
    </row>
    <row r="945" customFormat="false" ht="12.75" hidden="false" customHeight="false" outlineLevel="0" collapsed="false">
      <c r="M945" s="93"/>
      <c r="N945" s="94"/>
    </row>
    <row r="946" customFormat="false" ht="12.75" hidden="false" customHeight="false" outlineLevel="0" collapsed="false">
      <c r="M946" s="93"/>
      <c r="N946" s="94"/>
    </row>
    <row r="947" customFormat="false" ht="12.75" hidden="false" customHeight="false" outlineLevel="0" collapsed="false">
      <c r="M947" s="93"/>
      <c r="N947" s="94"/>
    </row>
    <row r="948" customFormat="false" ht="12.75" hidden="false" customHeight="false" outlineLevel="0" collapsed="false">
      <c r="M948" s="93"/>
      <c r="N948" s="94"/>
    </row>
    <row r="949" customFormat="false" ht="12.75" hidden="false" customHeight="false" outlineLevel="0" collapsed="false">
      <c r="M949" s="93"/>
      <c r="N949" s="94"/>
    </row>
    <row r="950" customFormat="false" ht="12.75" hidden="false" customHeight="false" outlineLevel="0" collapsed="false">
      <c r="M950" s="93"/>
      <c r="N950" s="94"/>
    </row>
    <row r="951" customFormat="false" ht="12.75" hidden="false" customHeight="false" outlineLevel="0" collapsed="false">
      <c r="M951" s="93"/>
      <c r="N951" s="94"/>
    </row>
    <row r="952" customFormat="false" ht="12.75" hidden="false" customHeight="false" outlineLevel="0" collapsed="false">
      <c r="M952" s="93"/>
      <c r="N952" s="94"/>
    </row>
    <row r="953" customFormat="false" ht="12.75" hidden="false" customHeight="false" outlineLevel="0" collapsed="false">
      <c r="M953" s="93"/>
      <c r="N953" s="94"/>
    </row>
    <row r="954" customFormat="false" ht="12.75" hidden="false" customHeight="false" outlineLevel="0" collapsed="false">
      <c r="M954" s="93"/>
      <c r="N954" s="94"/>
    </row>
    <row r="955" customFormat="false" ht="12.75" hidden="false" customHeight="false" outlineLevel="0" collapsed="false">
      <c r="M955" s="93"/>
      <c r="N955" s="94"/>
    </row>
    <row r="956" customFormat="false" ht="12.75" hidden="false" customHeight="false" outlineLevel="0" collapsed="false">
      <c r="M956" s="93"/>
      <c r="N956" s="94"/>
    </row>
    <row r="957" customFormat="false" ht="12.75" hidden="false" customHeight="false" outlineLevel="0" collapsed="false">
      <c r="M957" s="93"/>
      <c r="N957" s="94"/>
    </row>
    <row r="958" customFormat="false" ht="12.75" hidden="false" customHeight="false" outlineLevel="0" collapsed="false">
      <c r="M958" s="93"/>
      <c r="N958" s="94"/>
    </row>
    <row r="959" customFormat="false" ht="12.75" hidden="false" customHeight="false" outlineLevel="0" collapsed="false">
      <c r="M959" s="93"/>
      <c r="N959" s="94"/>
    </row>
    <row r="960" customFormat="false" ht="12.75" hidden="false" customHeight="false" outlineLevel="0" collapsed="false">
      <c r="M960" s="93"/>
      <c r="N960" s="94"/>
    </row>
    <row r="961" customFormat="false" ht="12.75" hidden="false" customHeight="false" outlineLevel="0" collapsed="false">
      <c r="M961" s="93"/>
      <c r="N961" s="94"/>
    </row>
    <row r="962" customFormat="false" ht="12.75" hidden="false" customHeight="false" outlineLevel="0" collapsed="false">
      <c r="M962" s="93"/>
      <c r="N962" s="94"/>
    </row>
    <row r="963" customFormat="false" ht="12.75" hidden="false" customHeight="false" outlineLevel="0" collapsed="false">
      <c r="M963" s="93"/>
      <c r="N963" s="94"/>
    </row>
    <row r="964" customFormat="false" ht="12.75" hidden="false" customHeight="false" outlineLevel="0" collapsed="false">
      <c r="M964" s="93"/>
      <c r="N964" s="94"/>
    </row>
    <row r="965" customFormat="false" ht="12.75" hidden="false" customHeight="false" outlineLevel="0" collapsed="false">
      <c r="M965" s="93"/>
      <c r="N965" s="94"/>
    </row>
    <row r="966" customFormat="false" ht="12.75" hidden="false" customHeight="false" outlineLevel="0" collapsed="false">
      <c r="M966" s="93"/>
      <c r="N966" s="94"/>
    </row>
    <row r="967" customFormat="false" ht="12.75" hidden="false" customHeight="false" outlineLevel="0" collapsed="false">
      <c r="M967" s="93"/>
      <c r="N967" s="94"/>
    </row>
    <row r="968" customFormat="false" ht="12.75" hidden="false" customHeight="false" outlineLevel="0" collapsed="false">
      <c r="M968" s="93"/>
      <c r="N968" s="94"/>
    </row>
    <row r="969" customFormat="false" ht="12.75" hidden="false" customHeight="false" outlineLevel="0" collapsed="false">
      <c r="M969" s="93"/>
      <c r="N969" s="94"/>
    </row>
    <row r="970" customFormat="false" ht="12.75" hidden="false" customHeight="false" outlineLevel="0" collapsed="false">
      <c r="M970" s="93"/>
      <c r="N970" s="94"/>
    </row>
    <row r="971" customFormat="false" ht="12.75" hidden="false" customHeight="false" outlineLevel="0" collapsed="false">
      <c r="M971" s="93"/>
      <c r="N971" s="94"/>
    </row>
    <row r="972" customFormat="false" ht="12.75" hidden="false" customHeight="false" outlineLevel="0" collapsed="false">
      <c r="M972" s="93"/>
      <c r="N972" s="94"/>
    </row>
    <row r="973" customFormat="false" ht="12.75" hidden="false" customHeight="false" outlineLevel="0" collapsed="false">
      <c r="M973" s="93"/>
      <c r="N973" s="94"/>
    </row>
    <row r="974" customFormat="false" ht="12.75" hidden="false" customHeight="false" outlineLevel="0" collapsed="false">
      <c r="M974" s="93"/>
      <c r="N974" s="94"/>
    </row>
    <row r="975" customFormat="false" ht="12.75" hidden="false" customHeight="false" outlineLevel="0" collapsed="false">
      <c r="M975" s="93"/>
      <c r="N975" s="94"/>
    </row>
    <row r="976" customFormat="false" ht="12.75" hidden="false" customHeight="false" outlineLevel="0" collapsed="false">
      <c r="M976" s="93"/>
      <c r="N976" s="94"/>
    </row>
    <row r="977" customFormat="false" ht="12.75" hidden="false" customHeight="false" outlineLevel="0" collapsed="false">
      <c r="M977" s="93"/>
      <c r="N977" s="94"/>
    </row>
    <row r="978" customFormat="false" ht="12.75" hidden="false" customHeight="false" outlineLevel="0" collapsed="false">
      <c r="M978" s="93"/>
      <c r="N978" s="94"/>
    </row>
    <row r="979" customFormat="false" ht="12.75" hidden="false" customHeight="false" outlineLevel="0" collapsed="false">
      <c r="M979" s="93"/>
      <c r="N979" s="94"/>
    </row>
    <row r="980" customFormat="false" ht="12.75" hidden="false" customHeight="false" outlineLevel="0" collapsed="false">
      <c r="M980" s="93"/>
      <c r="N980" s="94"/>
    </row>
    <row r="981" customFormat="false" ht="12.75" hidden="false" customHeight="false" outlineLevel="0" collapsed="false">
      <c r="M981" s="93"/>
      <c r="N981" s="94"/>
    </row>
    <row r="982" customFormat="false" ht="12.75" hidden="false" customHeight="false" outlineLevel="0" collapsed="false">
      <c r="M982" s="93"/>
      <c r="N982" s="94"/>
    </row>
    <row r="983" customFormat="false" ht="12.75" hidden="false" customHeight="false" outlineLevel="0" collapsed="false">
      <c r="M983" s="93"/>
      <c r="N983" s="94"/>
    </row>
    <row r="984" customFormat="false" ht="12.75" hidden="false" customHeight="false" outlineLevel="0" collapsed="false">
      <c r="M984" s="93"/>
      <c r="N984" s="94"/>
    </row>
    <row r="985" customFormat="false" ht="12.75" hidden="false" customHeight="false" outlineLevel="0" collapsed="false">
      <c r="M985" s="93"/>
      <c r="N985" s="94"/>
    </row>
    <row r="986" customFormat="false" ht="12.75" hidden="false" customHeight="false" outlineLevel="0" collapsed="false">
      <c r="M986" s="93"/>
      <c r="N986" s="94"/>
    </row>
    <row r="987" customFormat="false" ht="12.75" hidden="false" customHeight="false" outlineLevel="0" collapsed="false">
      <c r="M987" s="93"/>
      <c r="N987" s="94"/>
    </row>
    <row r="988" customFormat="false" ht="12.75" hidden="false" customHeight="false" outlineLevel="0" collapsed="false">
      <c r="M988" s="93"/>
      <c r="N988" s="94"/>
    </row>
    <row r="989" customFormat="false" ht="12.75" hidden="false" customHeight="false" outlineLevel="0" collapsed="false">
      <c r="M989" s="93"/>
      <c r="N989" s="94"/>
    </row>
    <row r="990" customFormat="false" ht="12.75" hidden="false" customHeight="false" outlineLevel="0" collapsed="false">
      <c r="M990" s="93"/>
      <c r="N990" s="94"/>
    </row>
    <row r="991" customFormat="false" ht="12.75" hidden="false" customHeight="false" outlineLevel="0" collapsed="false">
      <c r="M991" s="93"/>
      <c r="N991" s="94"/>
    </row>
    <row r="992" customFormat="false" ht="12.75" hidden="false" customHeight="false" outlineLevel="0" collapsed="false">
      <c r="M992" s="93"/>
      <c r="N992" s="94"/>
    </row>
    <row r="993" customFormat="false" ht="12.75" hidden="false" customHeight="false" outlineLevel="0" collapsed="false">
      <c r="M993" s="93"/>
      <c r="N993" s="94"/>
    </row>
    <row r="994" customFormat="false" ht="12.75" hidden="false" customHeight="false" outlineLevel="0" collapsed="false">
      <c r="M994" s="93"/>
      <c r="N994" s="94"/>
    </row>
    <row r="995" customFormat="false" ht="12.75" hidden="false" customHeight="false" outlineLevel="0" collapsed="false">
      <c r="M995" s="93"/>
      <c r="N995" s="94"/>
    </row>
    <row r="996" customFormat="false" ht="12.75" hidden="false" customHeight="false" outlineLevel="0" collapsed="false">
      <c r="M996" s="93"/>
      <c r="N996" s="94"/>
    </row>
    <row r="997" customFormat="false" ht="12.75" hidden="false" customHeight="false" outlineLevel="0" collapsed="false">
      <c r="M997" s="93"/>
      <c r="N997" s="94"/>
    </row>
    <row r="998" customFormat="false" ht="12.75" hidden="false" customHeight="false" outlineLevel="0" collapsed="false">
      <c r="M998" s="93"/>
      <c r="N998" s="94"/>
    </row>
    <row r="999" customFormat="false" ht="12.75" hidden="false" customHeight="false" outlineLevel="0" collapsed="false">
      <c r="M999" s="93"/>
      <c r="N999" s="94"/>
    </row>
    <row r="1000" customFormat="false" ht="12.75" hidden="false" customHeight="false" outlineLevel="0" collapsed="false">
      <c r="M1000" s="93"/>
      <c r="N1000" s="94"/>
    </row>
    <row r="1001" customFormat="false" ht="12.75" hidden="false" customHeight="false" outlineLevel="0" collapsed="false">
      <c r="M1001" s="93"/>
      <c r="N1001" s="94"/>
    </row>
    <row r="1002" customFormat="false" ht="12.75" hidden="false" customHeight="false" outlineLevel="0" collapsed="false">
      <c r="M1002" s="93"/>
      <c r="N1002" s="94"/>
    </row>
    <row r="1003" customFormat="false" ht="12.75" hidden="false" customHeight="false" outlineLevel="0" collapsed="false">
      <c r="M1003" s="93"/>
      <c r="N1003" s="94"/>
    </row>
    <row r="1004" customFormat="false" ht="12.75" hidden="false" customHeight="false" outlineLevel="0" collapsed="false">
      <c r="M1004" s="93"/>
      <c r="N1004" s="94"/>
    </row>
    <row r="1005" customFormat="false" ht="12.75" hidden="false" customHeight="false" outlineLevel="0" collapsed="false">
      <c r="M1005" s="93"/>
      <c r="N1005" s="94"/>
    </row>
    <row r="1006" customFormat="false" ht="12.75" hidden="false" customHeight="false" outlineLevel="0" collapsed="false">
      <c r="M1006" s="93"/>
      <c r="N1006" s="94"/>
    </row>
    <row r="1007" customFormat="false" ht="12.75" hidden="false" customHeight="false" outlineLevel="0" collapsed="false">
      <c r="M1007" s="93"/>
      <c r="N1007" s="94"/>
    </row>
    <row r="1008" customFormat="false" ht="12.75" hidden="false" customHeight="false" outlineLevel="0" collapsed="false">
      <c r="M1008" s="93"/>
      <c r="N1008" s="94"/>
    </row>
    <row r="1009" customFormat="false" ht="12.75" hidden="false" customHeight="false" outlineLevel="0" collapsed="false">
      <c r="M1009" s="93"/>
      <c r="N1009" s="94"/>
    </row>
    <row r="1010" customFormat="false" ht="12.75" hidden="false" customHeight="false" outlineLevel="0" collapsed="false">
      <c r="M1010" s="93"/>
      <c r="N1010" s="94"/>
    </row>
    <row r="1011" customFormat="false" ht="12.75" hidden="false" customHeight="false" outlineLevel="0" collapsed="false">
      <c r="M1011" s="93"/>
      <c r="N1011" s="94"/>
    </row>
    <row r="1012" customFormat="false" ht="12.75" hidden="false" customHeight="false" outlineLevel="0" collapsed="false">
      <c r="M1012" s="93"/>
      <c r="N1012" s="94"/>
    </row>
    <row r="1013" customFormat="false" ht="12.75" hidden="false" customHeight="false" outlineLevel="0" collapsed="false">
      <c r="M1013" s="93"/>
      <c r="N1013" s="94"/>
    </row>
    <row r="1014" customFormat="false" ht="12.75" hidden="false" customHeight="false" outlineLevel="0" collapsed="false">
      <c r="M1014" s="93"/>
      <c r="N1014" s="94"/>
    </row>
    <row r="1015" customFormat="false" ht="12.75" hidden="false" customHeight="false" outlineLevel="0" collapsed="false">
      <c r="M1015" s="93"/>
      <c r="N1015" s="94"/>
    </row>
    <row r="1016" customFormat="false" ht="12.75" hidden="false" customHeight="false" outlineLevel="0" collapsed="false">
      <c r="M1016" s="93"/>
      <c r="N1016" s="94"/>
    </row>
    <row r="1017" customFormat="false" ht="12.75" hidden="false" customHeight="false" outlineLevel="0" collapsed="false">
      <c r="M1017" s="93"/>
      <c r="N1017" s="94"/>
    </row>
    <row r="1018" customFormat="false" ht="12.75" hidden="false" customHeight="false" outlineLevel="0" collapsed="false">
      <c r="M1018" s="93"/>
      <c r="N1018" s="94"/>
    </row>
    <row r="1019" customFormat="false" ht="12.75" hidden="false" customHeight="false" outlineLevel="0" collapsed="false">
      <c r="M1019" s="93"/>
      <c r="N1019" s="94"/>
    </row>
    <row r="1020" customFormat="false" ht="12.75" hidden="false" customHeight="false" outlineLevel="0" collapsed="false">
      <c r="M1020" s="93"/>
      <c r="N1020" s="94"/>
    </row>
    <row r="1021" customFormat="false" ht="12.75" hidden="false" customHeight="false" outlineLevel="0" collapsed="false">
      <c r="M1021" s="93"/>
      <c r="N1021" s="94"/>
    </row>
    <row r="1022" customFormat="false" ht="12.75" hidden="false" customHeight="false" outlineLevel="0" collapsed="false">
      <c r="M1022" s="93"/>
      <c r="N1022" s="94"/>
    </row>
    <row r="1023" customFormat="false" ht="12.75" hidden="false" customHeight="false" outlineLevel="0" collapsed="false">
      <c r="M1023" s="93"/>
      <c r="N1023" s="94"/>
    </row>
    <row r="1024" customFormat="false" ht="12.75" hidden="false" customHeight="false" outlineLevel="0" collapsed="false">
      <c r="M1024" s="93"/>
      <c r="N1024" s="94"/>
    </row>
    <row r="1025" customFormat="false" ht="12.75" hidden="false" customHeight="false" outlineLevel="0" collapsed="false">
      <c r="M1025" s="93"/>
      <c r="N1025" s="94"/>
    </row>
    <row r="1026" customFormat="false" ht="12.75" hidden="false" customHeight="false" outlineLevel="0" collapsed="false">
      <c r="M1026" s="93"/>
      <c r="N1026" s="94"/>
    </row>
    <row r="1027" customFormat="false" ht="12.75" hidden="false" customHeight="false" outlineLevel="0" collapsed="false">
      <c r="M1027" s="93"/>
      <c r="N1027" s="94"/>
    </row>
    <row r="1028" customFormat="false" ht="12.75" hidden="false" customHeight="false" outlineLevel="0" collapsed="false">
      <c r="M1028" s="93"/>
      <c r="N1028" s="94"/>
    </row>
    <row r="1029" customFormat="false" ht="12.75" hidden="false" customHeight="false" outlineLevel="0" collapsed="false">
      <c r="M1029" s="93"/>
      <c r="N1029" s="94"/>
    </row>
    <row r="1030" customFormat="false" ht="12.75" hidden="false" customHeight="false" outlineLevel="0" collapsed="false">
      <c r="M1030" s="93"/>
      <c r="N1030" s="94"/>
    </row>
    <row r="1031" customFormat="false" ht="12.75" hidden="false" customHeight="false" outlineLevel="0" collapsed="false">
      <c r="M1031" s="93"/>
      <c r="N1031" s="94"/>
    </row>
    <row r="1032" customFormat="false" ht="12.75" hidden="false" customHeight="false" outlineLevel="0" collapsed="false">
      <c r="M1032" s="93"/>
      <c r="N1032" s="94"/>
    </row>
    <row r="1033" customFormat="false" ht="12.75" hidden="false" customHeight="false" outlineLevel="0" collapsed="false">
      <c r="M1033" s="93"/>
      <c r="N1033" s="94"/>
    </row>
    <row r="1034" customFormat="false" ht="12.75" hidden="false" customHeight="false" outlineLevel="0" collapsed="false">
      <c r="M1034" s="93"/>
      <c r="N1034" s="94"/>
    </row>
    <row r="1035" customFormat="false" ht="12.75" hidden="false" customHeight="false" outlineLevel="0" collapsed="false">
      <c r="M1035" s="93"/>
      <c r="N1035" s="94"/>
    </row>
    <row r="1036" customFormat="false" ht="12.75" hidden="false" customHeight="false" outlineLevel="0" collapsed="false">
      <c r="M1036" s="93"/>
      <c r="N1036" s="94"/>
    </row>
    <row r="1037" customFormat="false" ht="12.75" hidden="false" customHeight="false" outlineLevel="0" collapsed="false">
      <c r="M1037" s="93"/>
      <c r="N1037" s="94"/>
    </row>
    <row r="1038" customFormat="false" ht="12.75" hidden="false" customHeight="false" outlineLevel="0" collapsed="false">
      <c r="M1038" s="93"/>
      <c r="N1038" s="94"/>
    </row>
    <row r="1039" customFormat="false" ht="12.75" hidden="false" customHeight="false" outlineLevel="0" collapsed="false">
      <c r="M1039" s="93"/>
      <c r="N1039" s="94"/>
    </row>
    <row r="1040" customFormat="false" ht="12.75" hidden="false" customHeight="false" outlineLevel="0" collapsed="false">
      <c r="M1040" s="93"/>
      <c r="N1040" s="94"/>
    </row>
    <row r="1041" customFormat="false" ht="12.75" hidden="false" customHeight="false" outlineLevel="0" collapsed="false">
      <c r="M1041" s="93"/>
      <c r="N1041" s="94"/>
    </row>
    <row r="1042" customFormat="false" ht="12.75" hidden="false" customHeight="false" outlineLevel="0" collapsed="false">
      <c r="M1042" s="93"/>
      <c r="N1042" s="94"/>
    </row>
    <row r="1043" customFormat="false" ht="12.75" hidden="false" customHeight="false" outlineLevel="0" collapsed="false">
      <c r="M1043" s="93"/>
      <c r="N1043" s="94"/>
    </row>
    <row r="1044" customFormat="false" ht="12.75" hidden="false" customHeight="false" outlineLevel="0" collapsed="false">
      <c r="M1044" s="93"/>
      <c r="N1044" s="94"/>
    </row>
    <row r="1045" customFormat="false" ht="12.75" hidden="false" customHeight="false" outlineLevel="0" collapsed="false">
      <c r="M1045" s="93"/>
      <c r="N1045" s="94"/>
    </row>
    <row r="1046" customFormat="false" ht="12.75" hidden="false" customHeight="false" outlineLevel="0" collapsed="false">
      <c r="M1046" s="93"/>
      <c r="N1046" s="94"/>
    </row>
    <row r="1047" customFormat="false" ht="12.75" hidden="false" customHeight="false" outlineLevel="0" collapsed="false">
      <c r="M1047" s="93"/>
      <c r="N1047" s="94"/>
    </row>
    <row r="1048" customFormat="false" ht="12.75" hidden="false" customHeight="false" outlineLevel="0" collapsed="false">
      <c r="M1048" s="93"/>
      <c r="N1048" s="94"/>
    </row>
    <row r="1049" customFormat="false" ht="12.75" hidden="false" customHeight="false" outlineLevel="0" collapsed="false">
      <c r="M1049" s="93"/>
      <c r="N1049" s="94"/>
    </row>
    <row r="1050" customFormat="false" ht="12.75" hidden="false" customHeight="false" outlineLevel="0" collapsed="false">
      <c r="M1050" s="93"/>
      <c r="N1050" s="94"/>
    </row>
    <row r="1051" customFormat="false" ht="12.75" hidden="false" customHeight="false" outlineLevel="0" collapsed="false">
      <c r="M1051" s="93"/>
      <c r="N1051" s="94"/>
    </row>
    <row r="1052" customFormat="false" ht="12.75" hidden="false" customHeight="false" outlineLevel="0" collapsed="false">
      <c r="M1052" s="93"/>
      <c r="N1052" s="94"/>
    </row>
    <row r="1053" customFormat="false" ht="12.75" hidden="false" customHeight="false" outlineLevel="0" collapsed="false">
      <c r="M1053" s="93"/>
      <c r="N1053" s="94"/>
    </row>
    <row r="1054" customFormat="false" ht="12.75" hidden="false" customHeight="false" outlineLevel="0" collapsed="false">
      <c r="M1054" s="93"/>
      <c r="N1054" s="94"/>
    </row>
    <row r="1055" customFormat="false" ht="12.75" hidden="false" customHeight="false" outlineLevel="0" collapsed="false">
      <c r="M1055" s="93"/>
      <c r="N1055" s="94"/>
    </row>
    <row r="1056" customFormat="false" ht="12.75" hidden="false" customHeight="false" outlineLevel="0" collapsed="false">
      <c r="M1056" s="93"/>
      <c r="N1056" s="94"/>
    </row>
    <row r="1057" customFormat="false" ht="12.75" hidden="false" customHeight="false" outlineLevel="0" collapsed="false">
      <c r="M1057" s="93"/>
      <c r="N1057" s="94"/>
    </row>
    <row r="1058" customFormat="false" ht="12.75" hidden="false" customHeight="false" outlineLevel="0" collapsed="false">
      <c r="M1058" s="93"/>
      <c r="N1058" s="94"/>
    </row>
    <row r="1059" customFormat="false" ht="12.75" hidden="false" customHeight="false" outlineLevel="0" collapsed="false">
      <c r="M1059" s="93"/>
      <c r="N1059" s="94"/>
    </row>
    <row r="1060" customFormat="false" ht="12.75" hidden="false" customHeight="false" outlineLevel="0" collapsed="false">
      <c r="M1060" s="93"/>
      <c r="N1060" s="94"/>
    </row>
    <row r="1061" customFormat="false" ht="12.75" hidden="false" customHeight="false" outlineLevel="0" collapsed="false">
      <c r="M1061" s="93"/>
      <c r="N1061" s="94"/>
    </row>
    <row r="1062" customFormat="false" ht="12.75" hidden="false" customHeight="false" outlineLevel="0" collapsed="false">
      <c r="M1062" s="93"/>
      <c r="N1062" s="94"/>
    </row>
    <row r="1063" customFormat="false" ht="12.75" hidden="false" customHeight="false" outlineLevel="0" collapsed="false">
      <c r="M1063" s="93"/>
      <c r="N1063" s="94"/>
    </row>
    <row r="1064" customFormat="false" ht="12.75" hidden="false" customHeight="false" outlineLevel="0" collapsed="false">
      <c r="M1064" s="93"/>
      <c r="N1064" s="94"/>
    </row>
    <row r="1065" customFormat="false" ht="12.75" hidden="false" customHeight="false" outlineLevel="0" collapsed="false">
      <c r="M1065" s="93"/>
      <c r="N1065" s="94"/>
    </row>
    <row r="1066" customFormat="false" ht="12.75" hidden="false" customHeight="false" outlineLevel="0" collapsed="false">
      <c r="M1066" s="93"/>
      <c r="N1066" s="94"/>
    </row>
    <row r="1067" customFormat="false" ht="12.75" hidden="false" customHeight="false" outlineLevel="0" collapsed="false">
      <c r="M1067" s="93"/>
      <c r="N1067" s="94"/>
    </row>
    <row r="1068" customFormat="false" ht="12.75" hidden="false" customHeight="false" outlineLevel="0" collapsed="false">
      <c r="M1068" s="93"/>
      <c r="N1068" s="94"/>
    </row>
    <row r="1069" customFormat="false" ht="12.75" hidden="false" customHeight="false" outlineLevel="0" collapsed="false">
      <c r="M1069" s="93"/>
      <c r="N1069" s="94"/>
    </row>
    <row r="1070" customFormat="false" ht="12.75" hidden="false" customHeight="false" outlineLevel="0" collapsed="false">
      <c r="M1070" s="93"/>
      <c r="N1070" s="94"/>
    </row>
    <row r="1071" customFormat="false" ht="12.75" hidden="false" customHeight="false" outlineLevel="0" collapsed="false">
      <c r="M1071" s="93"/>
      <c r="N1071" s="94"/>
    </row>
    <row r="1072" customFormat="false" ht="12.75" hidden="false" customHeight="false" outlineLevel="0" collapsed="false">
      <c r="M1072" s="93"/>
      <c r="N1072" s="94"/>
    </row>
    <row r="1073" customFormat="false" ht="12.75" hidden="false" customHeight="false" outlineLevel="0" collapsed="false">
      <c r="M1073" s="93"/>
      <c r="N1073" s="94"/>
    </row>
    <row r="1074" customFormat="false" ht="12.75" hidden="false" customHeight="false" outlineLevel="0" collapsed="false">
      <c r="M1074" s="93"/>
      <c r="N1074" s="94"/>
    </row>
    <row r="1075" customFormat="false" ht="12.75" hidden="false" customHeight="false" outlineLevel="0" collapsed="false">
      <c r="M1075" s="93"/>
      <c r="N1075" s="94"/>
    </row>
    <row r="1076" customFormat="false" ht="12.75" hidden="false" customHeight="false" outlineLevel="0" collapsed="false">
      <c r="M1076" s="93"/>
      <c r="N1076" s="94"/>
    </row>
    <row r="1077" customFormat="false" ht="12.75" hidden="false" customHeight="false" outlineLevel="0" collapsed="false">
      <c r="M1077" s="93"/>
      <c r="N1077" s="94"/>
    </row>
    <row r="1078" customFormat="false" ht="12.75" hidden="false" customHeight="false" outlineLevel="0" collapsed="false">
      <c r="M1078" s="93"/>
      <c r="N1078" s="94"/>
    </row>
    <row r="1079" customFormat="false" ht="12.75" hidden="false" customHeight="false" outlineLevel="0" collapsed="false">
      <c r="M1079" s="93"/>
      <c r="N1079" s="94"/>
    </row>
    <row r="1080" customFormat="false" ht="12.75" hidden="false" customHeight="false" outlineLevel="0" collapsed="false">
      <c r="M1080" s="93"/>
      <c r="N1080" s="94"/>
    </row>
    <row r="1081" customFormat="false" ht="12.75" hidden="false" customHeight="false" outlineLevel="0" collapsed="false">
      <c r="M1081" s="93"/>
      <c r="N1081" s="94"/>
    </row>
    <row r="1082" customFormat="false" ht="12.75" hidden="false" customHeight="false" outlineLevel="0" collapsed="false">
      <c r="M1082" s="93"/>
      <c r="N1082" s="94"/>
    </row>
  </sheetData>
  <mergeCells count="6">
    <mergeCell ref="B3:I3"/>
    <mergeCell ref="R3:S3"/>
    <mergeCell ref="E5:I5"/>
    <mergeCell ref="G6:I6"/>
    <mergeCell ref="B7:E7"/>
    <mergeCell ref="AD7:AF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Y78"/>
  <sheetViews>
    <sheetView showFormulas="false" showGridLines="true" showRowColHeaders="true" showZeros="true" rightToLeft="false" tabSelected="false" showOutlineSymbols="true" defaultGridColor="true" view="normal" topLeftCell="A20" colorId="64" zoomScale="85" zoomScaleNormal="85" zoomScalePageLayoutView="100" workbookViewId="0">
      <selection pane="topLeft" activeCell="H49" activeCellId="0" sqref="H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2.7"/>
    <col collapsed="false" customWidth="true" hidden="false" outlineLevel="0" max="4" min="4" style="0" width="8.99"/>
    <col collapsed="false" customWidth="true" hidden="false" outlineLevel="0" max="5" min="5" style="0" width="11.28"/>
    <col collapsed="false" customWidth="true" hidden="false" outlineLevel="0" max="7" min="6" style="0" width="9.28"/>
    <col collapsed="false" customWidth="true" hidden="false" outlineLevel="0" max="8" min="8" style="0" width="10.56"/>
    <col collapsed="false" customWidth="true" hidden="false" outlineLevel="0" max="9" min="9" style="0" width="12.14"/>
    <col collapsed="false" customWidth="true" hidden="false" outlineLevel="0" max="10" min="10" style="0" width="10.85"/>
    <col collapsed="false" customWidth="true" hidden="false" outlineLevel="0" max="12" min="12" style="0" width="10.99"/>
    <col collapsed="false" customWidth="true" hidden="false" outlineLevel="0" max="15" min="13" style="0" width="10.71"/>
    <col collapsed="false" customWidth="true" hidden="false" outlineLevel="0" max="16" min="16" style="0" width="13.14"/>
    <col collapsed="false" customWidth="true" hidden="false" outlineLevel="0" max="17" min="17" style="0" width="13.56"/>
    <col collapsed="false" customWidth="true" hidden="false" outlineLevel="0" max="18" min="18" style="0" width="11.7"/>
    <col collapsed="false" customWidth="true" hidden="false" outlineLevel="0" max="19" min="19" style="0" width="13.41"/>
    <col collapsed="false" customWidth="true" hidden="false" outlineLevel="0" max="20" min="20" style="0" width="12.42"/>
    <col collapsed="false" customWidth="true" hidden="false" outlineLevel="0" max="21" min="21" style="0" width="11.42"/>
    <col collapsed="false" customWidth="true" hidden="false" outlineLevel="0" max="22" min="22" style="0" width="13.14"/>
    <col collapsed="false" customWidth="true" hidden="false" outlineLevel="0" max="24" min="23" style="0" width="13.85"/>
    <col collapsed="false" customWidth="true" hidden="false" outlineLevel="0" max="25" min="25" style="0" width="13.41"/>
    <col collapsed="false" customWidth="true" hidden="false" outlineLevel="0" max="26" min="26" style="0" width="13.56"/>
    <col collapsed="false" customWidth="true" hidden="false" outlineLevel="0" max="27" min="27" style="0" width="21.13"/>
    <col collapsed="false" customWidth="true" hidden="false" outlineLevel="0" max="28" min="28" style="0" width="12.7"/>
    <col collapsed="false" customWidth="true" hidden="false" outlineLevel="0" max="31" min="31" style="0" width="11.13"/>
    <col collapsed="false" customWidth="true" hidden="false" outlineLevel="0" max="32" min="32" style="0" width="9.7"/>
    <col collapsed="false" customWidth="true" hidden="false" outlineLevel="0" max="33" min="33" style="0" width="11.85"/>
    <col collapsed="false" customWidth="false" hidden="true" outlineLevel="0" max="35" min="34" style="0" width="9.06"/>
    <col collapsed="false" customWidth="true" hidden="true" outlineLevel="0" max="36" min="36" style="0" width="10.71"/>
    <col collapsed="false" customWidth="true" hidden="false" outlineLevel="0" max="37" min="37" style="0" width="1.41"/>
    <col collapsed="false" customWidth="true" hidden="false" outlineLevel="0" max="40" min="40" style="0" width="12.42"/>
    <col collapsed="false" customWidth="true" hidden="false" outlineLevel="0" max="41" min="41" style="0" width="1.28"/>
    <col collapsed="false" customWidth="true" hidden="false" outlineLevel="0" max="42" min="42" style="0" width="4.7"/>
    <col collapsed="false" customWidth="true" hidden="false" outlineLevel="0" max="45" min="45" style="0" width="11.13"/>
    <col collapsed="false" customWidth="true" hidden="false" outlineLevel="0" max="46" min="46" style="0" width="9.28"/>
    <col collapsed="false" customWidth="true" hidden="false" outlineLevel="0" max="49" min="49" style="0" width="10.71"/>
    <col collapsed="false" customWidth="true" hidden="false" outlineLevel="0" max="51" min="51" style="0" width="11.7"/>
  </cols>
  <sheetData>
    <row r="2" customFormat="false" ht="12.75" hidden="false" customHeight="false" outlineLevel="0" collapsed="false">
      <c r="A2" s="1" t="s">
        <v>98</v>
      </c>
      <c r="B2" s="1"/>
    </row>
    <row r="3" customFormat="false" ht="12.75" hidden="false" customHeight="false" outlineLevel="0" collapsed="false">
      <c r="A3" s="1"/>
      <c r="B3" s="1"/>
    </row>
    <row r="4" customFormat="false" ht="12.75" hidden="false" customHeight="false" outlineLevel="0" collapsed="false">
      <c r="A4" s="0" t="s">
        <v>99</v>
      </c>
      <c r="C4" s="54" t="n">
        <v>2.93</v>
      </c>
      <c r="D4" s="0" t="s">
        <v>100</v>
      </c>
    </row>
    <row r="5" customFormat="false" ht="12.75" hidden="false" customHeight="false" outlineLevel="0" collapsed="false">
      <c r="C5" s="54"/>
      <c r="I5" s="95"/>
      <c r="S5" s="95"/>
      <c r="X5" s="95"/>
      <c r="AE5" s="95"/>
    </row>
    <row r="6" customFormat="false" ht="12.75" hidden="false" customHeight="false" outlineLevel="0" collapsed="false">
      <c r="A6" s="96" t="s">
        <v>101</v>
      </c>
      <c r="C6" s="54"/>
    </row>
    <row r="7" customFormat="false" ht="12.75" hidden="false" customHeight="false" outlineLevel="0" collapsed="false">
      <c r="H7" s="0" t="s">
        <v>45</v>
      </c>
      <c r="I7" s="0" t="s">
        <v>45</v>
      </c>
      <c r="J7" s="0" t="s">
        <v>45</v>
      </c>
      <c r="K7" s="0" t="s">
        <v>45</v>
      </c>
      <c r="L7" s="0" t="s">
        <v>45</v>
      </c>
      <c r="M7" s="0" t="s">
        <v>45</v>
      </c>
      <c r="T7" s="97"/>
    </row>
    <row r="8" customFormat="false" ht="12.75" hidden="false" customHeight="false" outlineLevel="0" collapsed="false">
      <c r="A8" s="98"/>
      <c r="C8" s="99" t="s">
        <v>102</v>
      </c>
      <c r="D8" s="99"/>
      <c r="E8" s="99"/>
      <c r="G8" s="100" t="s">
        <v>103</v>
      </c>
      <c r="H8" s="100"/>
      <c r="I8" s="100"/>
      <c r="J8" s="101" t="s">
        <v>45</v>
      </c>
      <c r="K8" s="101" t="s">
        <v>45</v>
      </c>
      <c r="L8" s="101" t="s">
        <v>45</v>
      </c>
      <c r="M8" s="101" t="s">
        <v>45</v>
      </c>
      <c r="N8" s="101"/>
      <c r="O8" s="101"/>
      <c r="Q8" s="102" t="s">
        <v>104</v>
      </c>
      <c r="R8" s="97"/>
      <c r="S8" s="97"/>
      <c r="T8" s="97"/>
      <c r="U8" s="97" t="s">
        <v>105</v>
      </c>
      <c r="V8" s="97"/>
      <c r="W8" s="97"/>
      <c r="X8" s="97"/>
      <c r="Y8" s="97" t="s">
        <v>106</v>
      </c>
      <c r="Z8" s="97"/>
      <c r="AA8" s="97"/>
      <c r="AB8" s="97"/>
      <c r="AC8" s="97" t="s">
        <v>105</v>
      </c>
      <c r="AD8" s="97"/>
      <c r="AE8" s="97"/>
      <c r="AF8" s="97"/>
      <c r="AG8" s="103"/>
      <c r="AS8" s="102" t="s">
        <v>107</v>
      </c>
      <c r="AT8" s="97"/>
      <c r="AU8" s="97"/>
      <c r="AV8" s="97"/>
      <c r="AW8" s="97"/>
      <c r="AX8" s="97"/>
      <c r="AY8" s="103"/>
    </row>
    <row r="9" customFormat="false" ht="12.75" hidden="false" customHeight="false" outlineLevel="0" collapsed="false">
      <c r="A9" s="104" t="s">
        <v>86</v>
      </c>
      <c r="C9" s="105" t="s">
        <v>108</v>
      </c>
      <c r="D9" s="106" t="s">
        <v>109</v>
      </c>
      <c r="E9" s="107" t="s">
        <v>107</v>
      </c>
      <c r="G9" s="105" t="s">
        <v>110</v>
      </c>
      <c r="H9" s="106" t="s">
        <v>111</v>
      </c>
      <c r="I9" s="106" t="s">
        <v>112</v>
      </c>
      <c r="J9" s="106"/>
      <c r="K9" s="106" t="s">
        <v>113</v>
      </c>
      <c r="L9" s="106" t="s">
        <v>111</v>
      </c>
      <c r="M9" s="107" t="s">
        <v>112</v>
      </c>
      <c r="N9" s="106"/>
      <c r="O9" s="106"/>
      <c r="Q9" s="105" t="s">
        <v>110</v>
      </c>
      <c r="R9" s="106" t="s">
        <v>111</v>
      </c>
      <c r="S9" s="106" t="s">
        <v>112</v>
      </c>
      <c r="T9" s="106"/>
      <c r="U9" s="106" t="s">
        <v>110</v>
      </c>
      <c r="V9" s="106" t="s">
        <v>111</v>
      </c>
      <c r="W9" s="106" t="s">
        <v>114</v>
      </c>
      <c r="X9" s="106" t="s">
        <v>112</v>
      </c>
      <c r="Y9" s="106" t="s">
        <v>110</v>
      </c>
      <c r="Z9" s="106" t="s">
        <v>111</v>
      </c>
      <c r="AA9" s="106" t="s">
        <v>112</v>
      </c>
      <c r="AB9" s="106"/>
      <c r="AC9" s="106" t="s">
        <v>110</v>
      </c>
      <c r="AD9" s="106" t="s">
        <v>111</v>
      </c>
      <c r="AE9" s="106" t="s">
        <v>112</v>
      </c>
      <c r="AF9" s="106"/>
      <c r="AG9" s="107"/>
      <c r="AS9" s="105" t="s">
        <v>110</v>
      </c>
      <c r="AT9" s="106" t="s">
        <v>111</v>
      </c>
      <c r="AU9" s="106" t="s">
        <v>112</v>
      </c>
      <c r="AV9" s="106"/>
      <c r="AW9" s="106" t="s">
        <v>113</v>
      </c>
      <c r="AX9" s="106" t="s">
        <v>111</v>
      </c>
      <c r="AY9" s="107" t="s">
        <v>112</v>
      </c>
    </row>
    <row r="10" customFormat="false" ht="12.75" hidden="true" customHeight="false" outlineLevel="0" collapsed="false">
      <c r="A10" s="108" t="n">
        <f aca="false">Trades!A47</f>
        <v>45926</v>
      </c>
      <c r="B10" s="61"/>
      <c r="C10" s="109" t="n">
        <f aca="false">Trades!C47</f>
        <v>0</v>
      </c>
      <c r="D10" s="110" t="n">
        <f aca="false">Trades!D47</f>
        <v>0</v>
      </c>
      <c r="E10" s="111" t="n">
        <f aca="false">Trades!E47</f>
        <v>0</v>
      </c>
      <c r="F10" s="61"/>
      <c r="G10" s="105" t="n">
        <v>25</v>
      </c>
      <c r="H10" s="112" t="n">
        <v>36.63</v>
      </c>
      <c r="I10" s="113" t="n">
        <f aca="false">G10*D10*(Trades!Q47-Trades!H10)</f>
        <v>0</v>
      </c>
      <c r="J10" s="112"/>
      <c r="K10" s="106" t="n">
        <v>0</v>
      </c>
      <c r="L10" s="112"/>
      <c r="M10" s="114" t="n">
        <f aca="false">K10*D10*(Trades!Q47-Trades!L10)</f>
        <v>0</v>
      </c>
      <c r="N10" s="113"/>
      <c r="O10" s="113"/>
      <c r="Q10" s="105" t="n">
        <v>25</v>
      </c>
      <c r="R10" s="112" t="n">
        <v>34.5</v>
      </c>
      <c r="S10" s="113" t="n">
        <f aca="false">Q10*C10*(Trades!P47-Trades!R10)</f>
        <v>0</v>
      </c>
      <c r="T10" s="106"/>
      <c r="U10" s="106" t="n">
        <v>-25</v>
      </c>
      <c r="V10" s="106" t="n">
        <v>47</v>
      </c>
      <c r="W10" s="106" t="n">
        <f aca="false">SUM(ROM_hrs!D22:E38)</f>
        <v>384</v>
      </c>
      <c r="X10" s="115" t="n">
        <f aca="false">(SUM(ROM_hrs!D22:E38))*U10*(P47-V10)</f>
        <v>-18877.8027681661</v>
      </c>
      <c r="Y10" s="106"/>
      <c r="Z10" s="106"/>
      <c r="AA10" s="113" t="n">
        <f aca="false">Y10*C10*(Trades!P47-Trades!Z10)</f>
        <v>0</v>
      </c>
      <c r="AB10" s="106"/>
      <c r="AC10" s="106" t="n">
        <v>-25</v>
      </c>
      <c r="AD10" s="112" t="n">
        <v>44.5</v>
      </c>
      <c r="AE10" s="115" t="n">
        <f aca="false">AC10*C10*(Trades!P47-Trades!AD10)</f>
        <v>-0</v>
      </c>
      <c r="AF10" s="106"/>
      <c r="AG10" s="107"/>
      <c r="AS10" s="105" t="n">
        <v>0</v>
      </c>
      <c r="AT10" s="112" t="n">
        <v>0</v>
      </c>
      <c r="AU10" s="113" t="n">
        <f aca="false">AS10*E10*(Trades!R47-Trades!AT10)</f>
        <v>0</v>
      </c>
      <c r="AV10" s="106"/>
      <c r="AW10" s="106" t="n">
        <v>0</v>
      </c>
      <c r="AX10" s="112" t="n">
        <v>0</v>
      </c>
      <c r="AY10" s="114" t="n">
        <f aca="false">AW10*E10*(Trades!R47-Trades!AX10)</f>
        <v>0</v>
      </c>
    </row>
    <row r="11" customFormat="false" ht="12.75" hidden="false" customHeight="false" outlineLevel="0" collapsed="false">
      <c r="A11" s="108" t="n">
        <f aca="false">Trades!A48</f>
        <v>36678</v>
      </c>
      <c r="B11" s="61"/>
      <c r="C11" s="116" t="n">
        <f aca="false">Trades!C48</f>
        <v>264</v>
      </c>
      <c r="D11" s="110" t="n">
        <f aca="false">Trades!D48</f>
        <v>117</v>
      </c>
      <c r="E11" s="117" t="n">
        <f aca="false">Trades!E48</f>
        <v>144</v>
      </c>
      <c r="F11" s="61"/>
      <c r="G11" s="105" t="n">
        <v>25</v>
      </c>
      <c r="H11" s="112" t="n">
        <v>36.63</v>
      </c>
      <c r="I11" s="113" t="n">
        <f aca="false">G11*D11*(Trades!Q48-Trades!H11)</f>
        <v>131244.75</v>
      </c>
      <c r="J11" s="112"/>
      <c r="K11" s="106" t="n">
        <v>0</v>
      </c>
      <c r="L11" s="112"/>
      <c r="M11" s="114" t="n">
        <f aca="false">K11*D11*(Trades!Q48-Trades!L11)</f>
        <v>0</v>
      </c>
      <c r="N11" s="113"/>
      <c r="O11" s="113"/>
      <c r="Q11" s="105" t="n">
        <v>25</v>
      </c>
      <c r="R11" s="112" t="n">
        <f aca="false">34.5+$C$4</f>
        <v>37.43</v>
      </c>
      <c r="S11" s="113" t="n">
        <f aca="false">Q11*C11*(Trades!P48-Trades!R11)</f>
        <v>169522.833333333</v>
      </c>
      <c r="T11" s="106"/>
      <c r="U11" s="106" t="n">
        <v>-25</v>
      </c>
      <c r="V11" s="106" t="n">
        <v>47</v>
      </c>
      <c r="W11" s="106"/>
      <c r="X11" s="115" t="n">
        <f aca="false">C11*U11*(P48-V11)</f>
        <v>-106360.833333333</v>
      </c>
      <c r="Y11" s="106" t="n">
        <v>-25</v>
      </c>
      <c r="Z11" s="106" t="n">
        <v>51</v>
      </c>
      <c r="AA11" s="113" t="n">
        <f aca="false">Y11*C11*(Trades!P48-Trades!Z11)</f>
        <v>-79960.8333333333</v>
      </c>
      <c r="AB11" s="106"/>
      <c r="AC11" s="106" t="n">
        <v>-25</v>
      </c>
      <c r="AD11" s="112" t="n">
        <v>44.5</v>
      </c>
      <c r="AE11" s="115" t="n">
        <f aca="false">AC11*C11*(Trades!P48-Trades!AD11)</f>
        <v>-122860.833333333</v>
      </c>
      <c r="AF11" s="106"/>
      <c r="AG11" s="107"/>
      <c r="AS11" s="105"/>
      <c r="AT11" s="112"/>
      <c r="AU11" s="113" t="n">
        <f aca="false">AS11*E11*(Trades!R48-Trades!AT11)</f>
        <v>0</v>
      </c>
      <c r="AV11" s="106"/>
      <c r="AW11" s="106"/>
      <c r="AX11" s="106"/>
      <c r="AY11" s="114" t="n">
        <f aca="false">AW11*E11*(Trades!R48-Trades!AX11)</f>
        <v>0</v>
      </c>
    </row>
    <row r="12" customFormat="false" ht="12.75" hidden="false" customHeight="false" outlineLevel="0" collapsed="false">
      <c r="A12" s="108" t="n">
        <f aca="false">Trades!A49</f>
        <v>36708</v>
      </c>
      <c r="B12" s="61"/>
      <c r="C12" s="116" t="n">
        <f aca="false">Trades!C49</f>
        <v>744</v>
      </c>
      <c r="D12" s="110" t="n">
        <f aca="false">Trades!D49</f>
        <v>273</v>
      </c>
      <c r="E12" s="117" t="n">
        <f aca="false">Trades!E49</f>
        <v>336</v>
      </c>
      <c r="F12" s="61"/>
      <c r="G12" s="105" t="n">
        <v>25</v>
      </c>
      <c r="H12" s="112" t="n">
        <v>36.63</v>
      </c>
      <c r="I12" s="113" t="n">
        <f aca="false">G12*D12*(Trades!Q49-Trades!H12)</f>
        <v>231162.75</v>
      </c>
      <c r="J12" s="112"/>
      <c r="K12" s="106" t="n">
        <v>0</v>
      </c>
      <c r="L12" s="112"/>
      <c r="M12" s="114" t="n">
        <f aca="false">K12*D12*(Trades!Q49-Trades!L12)</f>
        <v>0</v>
      </c>
      <c r="N12" s="113"/>
      <c r="O12" s="113"/>
      <c r="Q12" s="105" t="n">
        <v>25</v>
      </c>
      <c r="R12" s="112" t="n">
        <f aca="false">34.5+$C$4</f>
        <v>37.43</v>
      </c>
      <c r="S12" s="113" t="n">
        <f aca="false">Q12*C12*(Trades!P49-Trades!R12)</f>
        <v>267739.5</v>
      </c>
      <c r="T12" s="106"/>
      <c r="U12" s="106"/>
      <c r="V12" s="106"/>
      <c r="W12" s="113" t="n">
        <f aca="false">U12*C12*(Trades!P49-Trades!V12)</f>
        <v>0</v>
      </c>
      <c r="X12" s="106"/>
      <c r="Y12" s="106" t="n">
        <v>-25</v>
      </c>
      <c r="Z12" s="106" t="n">
        <v>51</v>
      </c>
      <c r="AA12" s="113" t="n">
        <f aca="false">Y12*C12*(Trades!P49-Trades!Z12)</f>
        <v>-15337.5000000001</v>
      </c>
      <c r="AB12" s="106"/>
      <c r="AC12" s="106" t="n">
        <v>-25</v>
      </c>
      <c r="AD12" s="112" t="n">
        <v>44.5</v>
      </c>
      <c r="AE12" s="115" t="n">
        <f aca="false">AC12*C12*(Trades!P49-Trades!AD12)</f>
        <v>-136237.5</v>
      </c>
      <c r="AF12" s="106"/>
      <c r="AG12" s="107"/>
      <c r="AS12" s="105"/>
      <c r="AT12" s="112"/>
      <c r="AU12" s="113" t="n">
        <f aca="false">AS12*E12*(Trades!R49-Trades!AT12)</f>
        <v>0</v>
      </c>
      <c r="AV12" s="106"/>
      <c r="AW12" s="106"/>
      <c r="AX12" s="106"/>
      <c r="AY12" s="114" t="n">
        <f aca="false">AW12*E12*(Trades!R49-Trades!AX12)</f>
        <v>0</v>
      </c>
    </row>
    <row r="13" customFormat="false" ht="12.75" hidden="false" customHeight="false" outlineLevel="0" collapsed="false">
      <c r="A13" s="108" t="n">
        <f aca="false">Trades!A50</f>
        <v>36739</v>
      </c>
      <c r="B13" s="61"/>
      <c r="C13" s="116" t="n">
        <f aca="false">Trades!C50</f>
        <v>744</v>
      </c>
      <c r="D13" s="110" t="n">
        <f aca="false">Trades!D50</f>
        <v>299</v>
      </c>
      <c r="E13" s="117" t="n">
        <f aca="false">Trades!E50</f>
        <v>368</v>
      </c>
      <c r="F13" s="61"/>
      <c r="G13" s="105" t="n">
        <v>25</v>
      </c>
      <c r="H13" s="112" t="n">
        <v>36.63</v>
      </c>
      <c r="I13" s="113" t="n">
        <f aca="false">G13*D13*(Trades!Q50-Trades!H13)</f>
        <v>253178.25</v>
      </c>
      <c r="J13" s="112"/>
      <c r="K13" s="106" t="n">
        <v>0</v>
      </c>
      <c r="L13" s="112"/>
      <c r="M13" s="114" t="n">
        <f aca="false">K13*D13*(Trades!Q50-Trades!L13)</f>
        <v>0</v>
      </c>
      <c r="N13" s="113"/>
      <c r="O13" s="113"/>
      <c r="Q13" s="105" t="n">
        <v>25</v>
      </c>
      <c r="R13" s="112" t="n">
        <f aca="false">34.5+$C$4</f>
        <v>37.43</v>
      </c>
      <c r="S13" s="113" t="n">
        <f aca="false">Q13*C13*(Trades!P50-Trades!R13)</f>
        <v>286914.5</v>
      </c>
      <c r="T13" s="106"/>
      <c r="U13" s="106"/>
      <c r="V13" s="106"/>
      <c r="W13" s="113" t="n">
        <f aca="false">U13*C13*(Trades!P50-Trades!V13)</f>
        <v>0</v>
      </c>
      <c r="X13" s="106"/>
      <c r="Y13" s="106" t="n">
        <v>-25</v>
      </c>
      <c r="Z13" s="106" t="n">
        <v>51</v>
      </c>
      <c r="AA13" s="113" t="n">
        <f aca="false">Y13*C13*(Trades!P50-Trades!Z13)</f>
        <v>-34512.5000000001</v>
      </c>
      <c r="AB13" s="106"/>
      <c r="AC13" s="106" t="n">
        <v>-25</v>
      </c>
      <c r="AD13" s="112" t="n">
        <v>44.5</v>
      </c>
      <c r="AE13" s="115" t="n">
        <f aca="false">AC13*C13*(Trades!P50-Trades!AD13)</f>
        <v>-155412.5</v>
      </c>
      <c r="AF13" s="106"/>
      <c r="AG13" s="107"/>
      <c r="AS13" s="105"/>
      <c r="AT13" s="112"/>
      <c r="AU13" s="113" t="n">
        <f aca="false">AS13*E13*(Trades!R50-Trades!AT13)</f>
        <v>0</v>
      </c>
      <c r="AV13" s="106"/>
      <c r="AW13" s="106"/>
      <c r="AX13" s="106"/>
      <c r="AY13" s="114" t="n">
        <f aca="false">AW13*E13*(Trades!R50-Trades!AX13)</f>
        <v>0</v>
      </c>
    </row>
    <row r="14" customFormat="false" ht="12.75" hidden="false" customHeight="false" outlineLevel="0" collapsed="false">
      <c r="A14" s="108" t="n">
        <f aca="false">Trades!A51</f>
        <v>36770</v>
      </c>
      <c r="B14" s="61"/>
      <c r="C14" s="116" t="n">
        <f aca="false">Trades!C51</f>
        <v>720</v>
      </c>
      <c r="D14" s="110" t="n">
        <f aca="false">Trades!D51</f>
        <v>273</v>
      </c>
      <c r="E14" s="117" t="n">
        <f aca="false">Trades!E51</f>
        <v>336</v>
      </c>
      <c r="F14" s="61"/>
      <c r="G14" s="105" t="n">
        <v>25</v>
      </c>
      <c r="H14" s="112" t="n">
        <v>36.63</v>
      </c>
      <c r="I14" s="113" t="n">
        <f aca="false">G14*D14*(Trades!Q51-Trades!H14)</f>
        <v>231162.75</v>
      </c>
      <c r="J14" s="112"/>
      <c r="K14" s="106" t="n">
        <v>0</v>
      </c>
      <c r="L14" s="112"/>
      <c r="M14" s="114" t="n">
        <f aca="false">K14*D14*(Trades!Q51-Trades!L14)</f>
        <v>0</v>
      </c>
      <c r="N14" s="113"/>
      <c r="O14" s="113"/>
      <c r="Q14" s="105" t="n">
        <v>25</v>
      </c>
      <c r="R14" s="112" t="n">
        <f aca="false">34.5+$C$4</f>
        <v>37.43</v>
      </c>
      <c r="S14" s="113" t="n">
        <f aca="false">Q14*C14*(Trades!P51-Trades!R14)</f>
        <v>265597.5</v>
      </c>
      <c r="T14" s="106"/>
      <c r="U14" s="106"/>
      <c r="V14" s="106"/>
      <c r="W14" s="113" t="n">
        <f aca="false">U14*C14*(Trades!P51-Trades!V14)</f>
        <v>0</v>
      </c>
      <c r="X14" s="106"/>
      <c r="Y14" s="106" t="n">
        <v>-25</v>
      </c>
      <c r="Z14" s="106" t="n">
        <v>51</v>
      </c>
      <c r="AA14" s="113" t="n">
        <f aca="false">Y14*C14*(Trades!P51-Trades!Z14)</f>
        <v>-21337.5</v>
      </c>
      <c r="AB14" s="106"/>
      <c r="AC14" s="106" t="n">
        <v>-25</v>
      </c>
      <c r="AD14" s="112" t="n">
        <v>44.5</v>
      </c>
      <c r="AE14" s="115" t="n">
        <f aca="false">AC14*C14*(Trades!P51-Trades!AD14)</f>
        <v>-138337.5</v>
      </c>
      <c r="AF14" s="106"/>
      <c r="AG14" s="107"/>
      <c r="AS14" s="105"/>
      <c r="AT14" s="112"/>
      <c r="AU14" s="113" t="n">
        <f aca="false">AS14*E14*(Trades!R51-Trades!AT14)</f>
        <v>0</v>
      </c>
      <c r="AV14" s="106"/>
      <c r="AW14" s="106"/>
      <c r="AX14" s="106"/>
      <c r="AY14" s="114" t="n">
        <f aca="false">AW14*E14*(Trades!R51-Trades!AX14)</f>
        <v>0</v>
      </c>
    </row>
    <row r="15" customFormat="false" ht="12.75" hidden="false" customHeight="false" outlineLevel="0" collapsed="false">
      <c r="A15" s="108" t="n">
        <f aca="false">Trades!A52</f>
        <v>36800</v>
      </c>
      <c r="B15" s="61"/>
      <c r="C15" s="116" t="n">
        <f aca="false">Trades!C52</f>
        <v>744</v>
      </c>
      <c r="D15" s="110" t="n">
        <f aca="false">Trades!D52</f>
        <v>286</v>
      </c>
      <c r="E15" s="117" t="n">
        <f aca="false">Trades!E52</f>
        <v>352</v>
      </c>
      <c r="F15" s="61"/>
      <c r="G15" s="105" t="n">
        <v>0</v>
      </c>
      <c r="H15" s="112" t="n">
        <v>0</v>
      </c>
      <c r="I15" s="113" t="n">
        <f aca="false">G15*D15*(Trades!Q52-Trades!H15)</f>
        <v>0</v>
      </c>
      <c r="J15" s="112"/>
      <c r="K15" s="106" t="n">
        <v>0</v>
      </c>
      <c r="L15" s="112"/>
      <c r="M15" s="114" t="n">
        <f aca="false">K15*D15*(Trades!Q52-Trades!L15)</f>
        <v>0</v>
      </c>
      <c r="N15" s="113"/>
      <c r="O15" s="113"/>
      <c r="Q15" s="105" t="n">
        <v>25</v>
      </c>
      <c r="R15" s="112" t="n">
        <f aca="false">34.5+$C$4</f>
        <v>37.43</v>
      </c>
      <c r="S15" s="113" t="n">
        <f aca="false">Q15*C15*(Trades!P52-Trades!R15)</f>
        <v>361727</v>
      </c>
      <c r="T15" s="106"/>
      <c r="U15" s="106"/>
      <c r="V15" s="106"/>
      <c r="W15" s="113" t="n">
        <f aca="false">U15*C15*(Trades!P52-Trades!V15)</f>
        <v>0</v>
      </c>
      <c r="X15" s="106"/>
      <c r="Y15" s="106" t="n">
        <v>-25</v>
      </c>
      <c r="Z15" s="106" t="n">
        <v>51</v>
      </c>
      <c r="AA15" s="113" t="n">
        <f aca="false">Y15*C15*(Trades!P52-Trades!Z15)</f>
        <v>-109325</v>
      </c>
      <c r="AB15" s="106"/>
      <c r="AC15" s="106" t="n">
        <v>-25</v>
      </c>
      <c r="AD15" s="112" t="n">
        <v>44.5</v>
      </c>
      <c r="AE15" s="115" t="n">
        <f aca="false">AC15*C15*(Trades!P52-Trades!AD15)</f>
        <v>-230225</v>
      </c>
      <c r="AF15" s="106"/>
      <c r="AG15" s="107"/>
      <c r="AS15" s="105"/>
      <c r="AT15" s="112"/>
      <c r="AU15" s="113" t="n">
        <f aca="false">AS15*E15*(Trades!R52-Trades!AT15)</f>
        <v>0</v>
      </c>
      <c r="AV15" s="106"/>
      <c r="AW15" s="106"/>
      <c r="AX15" s="106"/>
      <c r="AY15" s="114" t="n">
        <f aca="false">AW15*E15*(Trades!R52-Trades!AX15)</f>
        <v>0</v>
      </c>
    </row>
    <row r="16" customFormat="false" ht="12.75" hidden="false" customHeight="false" outlineLevel="0" collapsed="false">
      <c r="A16" s="108" t="n">
        <f aca="false">Trades!A53</f>
        <v>36831</v>
      </c>
      <c r="B16" s="61"/>
      <c r="C16" s="116" t="n">
        <f aca="false">Trades!C53</f>
        <v>720</v>
      </c>
      <c r="D16" s="110" t="n">
        <f aca="false">Trades!D53</f>
        <v>286</v>
      </c>
      <c r="E16" s="117" t="n">
        <f aca="false">Trades!E53</f>
        <v>352</v>
      </c>
      <c r="F16" s="61"/>
      <c r="G16" s="105" t="n">
        <v>0</v>
      </c>
      <c r="H16" s="112" t="n">
        <v>0</v>
      </c>
      <c r="I16" s="113" t="n">
        <f aca="false">G16*D16*(Trades!Q53-Trades!H16)</f>
        <v>0</v>
      </c>
      <c r="J16" s="106"/>
      <c r="K16" s="106" t="n">
        <v>0</v>
      </c>
      <c r="L16" s="112"/>
      <c r="M16" s="114" t="n">
        <f aca="false">K16*D16*(Trades!Q53-Trades!L16)</f>
        <v>0</v>
      </c>
      <c r="N16" s="113"/>
      <c r="O16" s="113"/>
      <c r="Q16" s="105" t="n">
        <v>25</v>
      </c>
      <c r="R16" s="112" t="n">
        <f aca="false">34.5+$C$4</f>
        <v>37.43</v>
      </c>
      <c r="S16" s="113" t="n">
        <f aca="false">Q16*C16*(Trades!P53-Trades!R16)</f>
        <v>271610</v>
      </c>
      <c r="T16" s="106"/>
      <c r="U16" s="106"/>
      <c r="V16" s="106"/>
      <c r="W16" s="113" t="n">
        <f aca="false">U16*C16*(Trades!P53-Trades!V16)</f>
        <v>0</v>
      </c>
      <c r="X16" s="106"/>
      <c r="Y16" s="106" t="n">
        <v>-25</v>
      </c>
      <c r="Z16" s="106" t="n">
        <v>51</v>
      </c>
      <c r="AA16" s="113" t="n">
        <f aca="false">Y16*C16*(Trades!P53-Trades!Z16)</f>
        <v>-27350</v>
      </c>
      <c r="AB16" s="106"/>
      <c r="AC16" s="106"/>
      <c r="AD16" s="112" t="n">
        <v>0</v>
      </c>
      <c r="AE16" s="115" t="n">
        <f aca="false">AC16*C16*(Trades!P53-Trades!AD16)</f>
        <v>0</v>
      </c>
      <c r="AF16" s="106"/>
      <c r="AG16" s="107"/>
      <c r="AS16" s="105"/>
      <c r="AT16" s="112"/>
      <c r="AU16" s="113" t="n">
        <f aca="false">AS16*E16*(Trades!R53-Trades!AT16)</f>
        <v>0</v>
      </c>
      <c r="AV16" s="106"/>
      <c r="AW16" s="106"/>
      <c r="AX16" s="106"/>
      <c r="AY16" s="114" t="n">
        <f aca="false">AW16*E16*(Trades!R53-Trades!AX16)</f>
        <v>0</v>
      </c>
    </row>
    <row r="17" customFormat="false" ht="12.75" hidden="false" customHeight="false" outlineLevel="0" collapsed="false">
      <c r="A17" s="108" t="n">
        <f aca="false">Trades!A54</f>
        <v>36861</v>
      </c>
      <c r="B17" s="61"/>
      <c r="C17" s="116" t="n">
        <f aca="false">Trades!C54</f>
        <v>744</v>
      </c>
      <c r="D17" s="110" t="n">
        <f aca="false">Trades!D54</f>
        <v>273</v>
      </c>
      <c r="E17" s="117" t="n">
        <f aca="false">Trades!E54</f>
        <v>336</v>
      </c>
      <c r="F17" s="61"/>
      <c r="G17" s="105" t="n">
        <v>0</v>
      </c>
      <c r="H17" s="112" t="n">
        <v>0</v>
      </c>
      <c r="I17" s="113" t="n">
        <f aca="false">G17*D17*(Trades!Q54-Trades!H17)</f>
        <v>0</v>
      </c>
      <c r="J17" s="106"/>
      <c r="K17" s="106" t="n">
        <v>0</v>
      </c>
      <c r="L17" s="112"/>
      <c r="M17" s="114" t="n">
        <f aca="false">K17*D17*(Trades!Q54-Trades!L17)</f>
        <v>0</v>
      </c>
      <c r="N17" s="113"/>
      <c r="O17" s="113"/>
      <c r="Q17" s="105" t="n">
        <v>25</v>
      </c>
      <c r="R17" s="112" t="n">
        <f aca="false">34.5+$C$4</f>
        <v>37.43</v>
      </c>
      <c r="S17" s="113" t="n">
        <f aca="false">Q17*C17*(Trades!P54-Trades!R17)</f>
        <v>264327</v>
      </c>
      <c r="T17" s="106"/>
      <c r="U17" s="106"/>
      <c r="V17" s="106"/>
      <c r="W17" s="113" t="n">
        <f aca="false">U17*C17*(Trades!P54-Trades!V17)</f>
        <v>0</v>
      </c>
      <c r="X17" s="106"/>
      <c r="Y17" s="106" t="n">
        <v>-25</v>
      </c>
      <c r="Z17" s="106" t="n">
        <v>51</v>
      </c>
      <c r="AA17" s="113" t="n">
        <f aca="false">Y17*C17*(Trades!P54-Trades!Z17)</f>
        <v>-11925</v>
      </c>
      <c r="AB17" s="106"/>
      <c r="AC17" s="106"/>
      <c r="AD17" s="112" t="n">
        <v>0</v>
      </c>
      <c r="AE17" s="115" t="n">
        <f aca="false">AC17*C17*(Trades!P54-Trades!AD17)</f>
        <v>0</v>
      </c>
      <c r="AF17" s="106"/>
      <c r="AG17" s="107"/>
      <c r="AS17" s="105"/>
      <c r="AT17" s="112"/>
      <c r="AU17" s="113" t="n">
        <f aca="false">AS17*E17*(Trades!R54-Trades!AT17)</f>
        <v>0</v>
      </c>
      <c r="AV17" s="106"/>
      <c r="AW17" s="106"/>
      <c r="AX17" s="106"/>
      <c r="AY17" s="114" t="n">
        <f aca="false">AW17*E17*(Trades!R54-Trades!AX17)</f>
        <v>0</v>
      </c>
    </row>
    <row r="18" customFormat="false" ht="12.75" hidden="false" customHeight="false" outlineLevel="0" collapsed="false">
      <c r="A18" s="108"/>
      <c r="B18" s="61"/>
      <c r="C18" s="116"/>
      <c r="D18" s="110"/>
      <c r="E18" s="117"/>
      <c r="F18" s="61"/>
      <c r="G18" s="105"/>
      <c r="H18" s="106"/>
      <c r="I18" s="113"/>
      <c r="J18" s="106"/>
      <c r="K18" s="106"/>
      <c r="L18" s="112"/>
      <c r="M18" s="114"/>
      <c r="N18" s="113"/>
      <c r="O18" s="113"/>
      <c r="Q18" s="105"/>
      <c r="R18" s="112"/>
      <c r="S18" s="113"/>
      <c r="T18" s="106"/>
      <c r="U18" s="106"/>
      <c r="V18" s="106"/>
      <c r="W18" s="113"/>
      <c r="X18" s="106"/>
      <c r="Y18" s="106"/>
      <c r="Z18" s="106"/>
      <c r="AA18" s="113"/>
      <c r="AB18" s="106"/>
      <c r="AC18" s="106"/>
      <c r="AD18" s="112"/>
      <c r="AE18" s="115"/>
      <c r="AF18" s="106"/>
      <c r="AG18" s="107"/>
      <c r="AS18" s="105"/>
      <c r="AT18" s="112"/>
      <c r="AU18" s="113"/>
      <c r="AV18" s="106"/>
      <c r="AW18" s="106"/>
      <c r="AX18" s="106"/>
      <c r="AY18" s="114"/>
    </row>
    <row r="19" customFormat="false" ht="12.75" hidden="false" customHeight="false" outlineLevel="0" collapsed="false">
      <c r="A19" s="118"/>
      <c r="C19" s="119"/>
      <c r="D19" s="120"/>
      <c r="E19" s="121"/>
      <c r="G19" s="119"/>
      <c r="H19" s="120"/>
      <c r="I19" s="120"/>
      <c r="J19" s="120"/>
      <c r="K19" s="120"/>
      <c r="L19" s="120"/>
      <c r="M19" s="121"/>
      <c r="N19" s="106"/>
      <c r="O19" s="106"/>
      <c r="Q19" s="119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1"/>
      <c r="AS19" s="119"/>
      <c r="AT19" s="120"/>
      <c r="AU19" s="120"/>
      <c r="AV19" s="120"/>
      <c r="AW19" s="120"/>
      <c r="AX19" s="120"/>
      <c r="AY19" s="121"/>
    </row>
    <row r="22" customFormat="false" ht="12.75" hidden="false" customHeight="false" outlineLevel="0" collapsed="false">
      <c r="A22" s="1" t="s">
        <v>115</v>
      </c>
      <c r="B22" s="1"/>
    </row>
    <row r="23" customFormat="false" ht="12.75" hidden="false" customHeight="false" outlineLevel="0" collapsed="false">
      <c r="A23" s="122" t="n">
        <f aca="true">TODAY()</f>
        <v>45926</v>
      </c>
      <c r="B23" s="1"/>
    </row>
    <row r="25" customFormat="false" ht="12.75" hidden="false" customHeight="false" outlineLevel="0" collapsed="false">
      <c r="A25" s="98"/>
      <c r="B25" s="107"/>
      <c r="C25" s="102" t="s">
        <v>116</v>
      </c>
      <c r="D25" s="97"/>
      <c r="E25" s="103"/>
      <c r="F25" s="105"/>
      <c r="G25" s="102" t="s">
        <v>117</v>
      </c>
      <c r="H25" s="97"/>
      <c r="I25" s="103"/>
      <c r="J25" s="106"/>
      <c r="K25" s="102" t="s">
        <v>118</v>
      </c>
      <c r="L25" s="97"/>
      <c r="M25" s="103"/>
      <c r="N25" s="106"/>
      <c r="O25" s="106"/>
      <c r="P25" s="105"/>
      <c r="Q25" s="102"/>
      <c r="R25" s="97"/>
      <c r="S25" s="97"/>
      <c r="T25" s="97"/>
      <c r="U25" s="103"/>
    </row>
    <row r="26" customFormat="false" ht="12.75" hidden="false" customHeight="false" outlineLevel="0" collapsed="false">
      <c r="A26" s="118" t="s">
        <v>86</v>
      </c>
      <c r="B26" s="106"/>
      <c r="C26" s="119" t="s">
        <v>110</v>
      </c>
      <c r="D26" s="120" t="s">
        <v>114</v>
      </c>
      <c r="E26" s="121" t="s">
        <v>112</v>
      </c>
      <c r="F26" s="106"/>
      <c r="G26" s="119" t="s">
        <v>110</v>
      </c>
      <c r="H26" s="120" t="s">
        <v>114</v>
      </c>
      <c r="I26" s="121" t="s">
        <v>112</v>
      </c>
      <c r="J26" s="106"/>
      <c r="K26" s="119" t="s">
        <v>113</v>
      </c>
      <c r="L26" s="120" t="s">
        <v>114</v>
      </c>
      <c r="M26" s="121" t="s">
        <v>112</v>
      </c>
      <c r="N26" s="106"/>
      <c r="O26" s="106"/>
      <c r="P26" s="106"/>
      <c r="Q26" s="119" t="s">
        <v>119</v>
      </c>
      <c r="R26" s="120"/>
      <c r="S26" s="120" t="s">
        <v>120</v>
      </c>
      <c r="T26" s="120"/>
      <c r="U26" s="121" t="s">
        <v>121</v>
      </c>
    </row>
    <row r="27" customFormat="false" ht="12.75" hidden="true" customHeight="false" outlineLevel="0" collapsed="false">
      <c r="A27" s="108" t="n">
        <f aca="false">A10</f>
        <v>45926</v>
      </c>
      <c r="B27" s="123"/>
      <c r="C27" s="105" t="e">
        <f aca="false">SUM(ROM_hrs!S20:T38)/SUM(ROM_hrs!N5:P5)</f>
        <v>#DIV/0!</v>
      </c>
      <c r="D27" s="124" t="n">
        <f aca="false">SUM(ROM_hrs!S8:T38)</f>
        <v>0</v>
      </c>
      <c r="E27" s="125" t="n">
        <f aca="false">SUM(ROM_hrs!AI8:AJ38)</f>
        <v>0</v>
      </c>
      <c r="F27" s="106"/>
      <c r="G27" s="105" t="n">
        <f aca="false">SUM(ROM_hrs!R8:R38)+SUM(ROM_hrs!U8:U38)</f>
        <v>0</v>
      </c>
      <c r="H27" s="126" t="n">
        <f aca="false">G27</f>
        <v>0</v>
      </c>
      <c r="I27" s="125" t="n">
        <f aca="false">SUM(ROM_hrs!AH8:AH38)+SUM(ROM_hrs!AK8:AK38)</f>
        <v>0</v>
      </c>
      <c r="J27" s="106"/>
      <c r="K27" s="105" t="n">
        <f aca="false">U10</f>
        <v>-25</v>
      </c>
      <c r="L27" s="124" t="n">
        <f aca="false">SUM(ROM_hrs!V8:V38)</f>
        <v>0</v>
      </c>
      <c r="M27" s="125" t="n">
        <f aca="false">SUM(ROM_hrs!AL8:AL38)</f>
        <v>0</v>
      </c>
      <c r="N27" s="115"/>
      <c r="O27" s="115"/>
      <c r="P27" s="106"/>
      <c r="Q27" s="127" t="n">
        <f aca="false">M27+I27+E27</f>
        <v>0</v>
      </c>
      <c r="R27" s="106"/>
      <c r="S27" s="128" t="n">
        <f aca="false">T47</f>
        <v>1</v>
      </c>
      <c r="T27" s="106"/>
      <c r="U27" s="125" t="n">
        <f aca="false">S27*Q27</f>
        <v>0</v>
      </c>
    </row>
    <row r="28" customFormat="false" ht="12.75" hidden="false" customHeight="false" outlineLevel="0" collapsed="false">
      <c r="A28" s="108" t="n">
        <f aca="false">A11</f>
        <v>36678</v>
      </c>
      <c r="B28" s="123"/>
      <c r="C28" s="105" t="n">
        <f aca="false">AC11+Q11</f>
        <v>0</v>
      </c>
      <c r="D28" s="124" t="n">
        <f aca="false">C28*C11</f>
        <v>0</v>
      </c>
      <c r="E28" s="125" t="n">
        <f aca="false">AE11+S11</f>
        <v>46662</v>
      </c>
      <c r="F28" s="106"/>
      <c r="G28" s="105" t="n">
        <f aca="false">G11+K11+U11+Y11</f>
        <v>-25</v>
      </c>
      <c r="H28" s="124" t="n">
        <f aca="false">G28*D11</f>
        <v>-2925</v>
      </c>
      <c r="I28" s="125" t="n">
        <f aca="false">D48*25*(47-36.63)+H28*(Q48-Z11)</f>
        <v>-58880.25</v>
      </c>
      <c r="J28" s="106"/>
      <c r="K28" s="105" t="n">
        <f aca="false">U11+Y11</f>
        <v>-50</v>
      </c>
      <c r="L28" s="124" t="n">
        <f aca="false">K28*H48</f>
        <v>-7350</v>
      </c>
      <c r="M28" s="125" t="n">
        <f aca="false">L28*(S48-(AVERAGE(V11,Z11)))</f>
        <v>-14700</v>
      </c>
      <c r="N28" s="115"/>
      <c r="O28" s="115"/>
      <c r="P28" s="106"/>
      <c r="Q28" s="127" t="n">
        <f aca="false">M28+I28+E28</f>
        <v>-26918.25</v>
      </c>
      <c r="R28" s="106"/>
      <c r="S28" s="128" t="n">
        <f aca="false">T48</f>
        <v>1</v>
      </c>
      <c r="T28" s="106"/>
      <c r="U28" s="125" t="n">
        <f aca="false">S28*Q28</f>
        <v>-26918.25</v>
      </c>
    </row>
    <row r="29" customFormat="false" ht="12.75" hidden="false" customHeight="false" outlineLevel="0" collapsed="false">
      <c r="A29" s="108" t="n">
        <f aca="false">A12</f>
        <v>36708</v>
      </c>
      <c r="B29" s="123"/>
      <c r="C29" s="105" t="n">
        <f aca="false">AC12+Q12</f>
        <v>0</v>
      </c>
      <c r="D29" s="124" t="n">
        <f aca="false">C29*C12</f>
        <v>0</v>
      </c>
      <c r="E29" s="125" t="n">
        <f aca="false">AE12+W12+S12</f>
        <v>131502</v>
      </c>
      <c r="F29" s="106"/>
      <c r="G29" s="105" t="n">
        <f aca="false">G12+K12+Y12</f>
        <v>0</v>
      </c>
      <c r="H29" s="124" t="n">
        <f aca="false">G29*D12</f>
        <v>0</v>
      </c>
      <c r="I29" s="125" t="n">
        <f aca="false">(D49*25*(51-36.63))</f>
        <v>98075.25</v>
      </c>
      <c r="J29" s="106"/>
      <c r="K29" s="105" t="n">
        <f aca="false">Y12</f>
        <v>-25</v>
      </c>
      <c r="L29" s="124" t="n">
        <f aca="false">K29*H49</f>
        <v>-11775</v>
      </c>
      <c r="M29" s="125" t="n">
        <f aca="false">L29*(S49-Z12)</f>
        <v>117750</v>
      </c>
      <c r="N29" s="115"/>
      <c r="O29" s="115"/>
      <c r="P29" s="106"/>
      <c r="Q29" s="127" t="n">
        <f aca="false">M29+I29+E29</f>
        <v>347327.25</v>
      </c>
      <c r="R29" s="106"/>
      <c r="S29" s="128" t="n">
        <f aca="false">T49</f>
        <v>4.26310693486652</v>
      </c>
      <c r="T29" s="106"/>
      <c r="U29" s="125" t="n">
        <f aca="false">S29*Q29</f>
        <v>1480693.20814312</v>
      </c>
    </row>
    <row r="30" customFormat="false" ht="12.75" hidden="false" customHeight="false" outlineLevel="0" collapsed="false">
      <c r="A30" s="108" t="n">
        <f aca="false">A13</f>
        <v>36739</v>
      </c>
      <c r="B30" s="123"/>
      <c r="C30" s="105" t="n">
        <f aca="false">AC13+Q13</f>
        <v>0</v>
      </c>
      <c r="D30" s="124" t="n">
        <f aca="false">C30*C13</f>
        <v>0</v>
      </c>
      <c r="E30" s="125" t="n">
        <f aca="false">AE13+W13+S13</f>
        <v>131502</v>
      </c>
      <c r="F30" s="106"/>
      <c r="G30" s="105" t="n">
        <f aca="false">G13+K13+Y13</f>
        <v>0</v>
      </c>
      <c r="H30" s="124" t="n">
        <f aca="false">G30*D13</f>
        <v>0</v>
      </c>
      <c r="I30" s="125" t="n">
        <f aca="false">(D50*25*(51-36.63))</f>
        <v>107415.75</v>
      </c>
      <c r="J30" s="106"/>
      <c r="K30" s="105" t="n">
        <f aca="false">Y13</f>
        <v>-25</v>
      </c>
      <c r="L30" s="124" t="n">
        <f aca="false">K30*H50</f>
        <v>-11125</v>
      </c>
      <c r="M30" s="125" t="n">
        <f aca="false">L30*(S50-Z13)</f>
        <v>111250</v>
      </c>
      <c r="N30" s="115"/>
      <c r="O30" s="115"/>
      <c r="P30" s="106"/>
      <c r="Q30" s="127" t="n">
        <f aca="false">M30+I30+E30</f>
        <v>350167.75</v>
      </c>
      <c r="R30" s="106"/>
      <c r="S30" s="128" t="n">
        <f aca="false">T50</f>
        <v>4.28249296946718</v>
      </c>
      <c r="T30" s="106"/>
      <c r="U30" s="125" t="n">
        <f aca="false">S30*Q30</f>
        <v>1499590.92750914</v>
      </c>
    </row>
    <row r="31" customFormat="false" ht="12.75" hidden="false" customHeight="false" outlineLevel="0" collapsed="false">
      <c r="A31" s="108" t="n">
        <f aca="false">A14</f>
        <v>36770</v>
      </c>
      <c r="B31" s="123"/>
      <c r="C31" s="105" t="n">
        <f aca="false">AC14+Q14</f>
        <v>0</v>
      </c>
      <c r="D31" s="124" t="n">
        <f aca="false">C31*C14</f>
        <v>0</v>
      </c>
      <c r="E31" s="125" t="n">
        <f aca="false">AE14+W14+S14</f>
        <v>127260</v>
      </c>
      <c r="F31" s="106"/>
      <c r="G31" s="105" t="n">
        <f aca="false">G14+K14+Y14</f>
        <v>0</v>
      </c>
      <c r="H31" s="124" t="n">
        <f aca="false">G31*D14</f>
        <v>0</v>
      </c>
      <c r="I31" s="125" t="n">
        <f aca="false">(D51*25*(51-36.63))</f>
        <v>98075.25</v>
      </c>
      <c r="J31" s="106"/>
      <c r="K31" s="105" t="n">
        <f aca="false">Y14</f>
        <v>-25</v>
      </c>
      <c r="L31" s="124" t="n">
        <f aca="false">K31*H51</f>
        <v>-11175</v>
      </c>
      <c r="M31" s="125" t="n">
        <f aca="false">L31*(S51-Z14)</f>
        <v>111750</v>
      </c>
      <c r="N31" s="115"/>
      <c r="O31" s="115"/>
      <c r="P31" s="106"/>
      <c r="Q31" s="127" t="n">
        <f aca="false">M31+I31+E31</f>
        <v>337085.25</v>
      </c>
      <c r="R31" s="106"/>
      <c r="S31" s="128" t="n">
        <f aca="false">T51</f>
        <v>4.28276813511487</v>
      </c>
      <c r="T31" s="106"/>
      <c r="U31" s="125" t="n">
        <f aca="false">S31*Q31</f>
        <v>1443657.96751723</v>
      </c>
    </row>
    <row r="32" customFormat="false" ht="12.75" hidden="false" customHeight="false" outlineLevel="0" collapsed="false">
      <c r="A32" s="108" t="n">
        <f aca="false">A15</f>
        <v>36800</v>
      </c>
      <c r="B32" s="123"/>
      <c r="C32" s="105" t="n">
        <f aca="false">AC15+Q15</f>
        <v>0</v>
      </c>
      <c r="D32" s="124" t="n">
        <f aca="false">C32*C15</f>
        <v>0</v>
      </c>
      <c r="E32" s="125" t="n">
        <f aca="false">AE15+W15+S15</f>
        <v>131502</v>
      </c>
      <c r="F32" s="106"/>
      <c r="G32" s="105" t="n">
        <f aca="false">G15+K15+Y15</f>
        <v>-25</v>
      </c>
      <c r="H32" s="124" t="n">
        <f aca="false">G32*D15</f>
        <v>-7150</v>
      </c>
      <c r="I32" s="125" t="n">
        <f aca="false">H32*(Q52-Z15)</f>
        <v>-189475</v>
      </c>
      <c r="J32" s="106"/>
      <c r="K32" s="105" t="n">
        <f aca="false">Y15</f>
        <v>-25</v>
      </c>
      <c r="L32" s="124" t="n">
        <f aca="false">K32*H52</f>
        <v>-11450</v>
      </c>
      <c r="M32" s="125" t="n">
        <f aca="false">L32*(S52-Z15)</f>
        <v>80150</v>
      </c>
      <c r="N32" s="115"/>
      <c r="O32" s="115"/>
      <c r="P32" s="106"/>
      <c r="Q32" s="127" t="n">
        <f aca="false">M32+I32+E32</f>
        <v>22177</v>
      </c>
      <c r="R32" s="106"/>
      <c r="S32" s="128" t="n">
        <f aca="false">T52</f>
        <v>4.28431364507189</v>
      </c>
      <c r="T32" s="106"/>
      <c r="U32" s="125" t="n">
        <f aca="false">S32*Q32</f>
        <v>95013.2237067592</v>
      </c>
    </row>
    <row r="33" customFormat="false" ht="12.75" hidden="false" customHeight="false" outlineLevel="0" collapsed="false">
      <c r="A33" s="108" t="n">
        <f aca="false">A16</f>
        <v>36831</v>
      </c>
      <c r="B33" s="123"/>
      <c r="C33" s="105" t="n">
        <f aca="false">AC16+Y16+U16+Q16</f>
        <v>0</v>
      </c>
      <c r="D33" s="124" t="n">
        <f aca="false">C33*C16</f>
        <v>0</v>
      </c>
      <c r="E33" s="125" t="n">
        <f aca="false">AE16+AA16+W16+S16</f>
        <v>244260</v>
      </c>
      <c r="F33" s="106"/>
      <c r="G33" s="105" t="n">
        <f aca="false">G16+K16</f>
        <v>0</v>
      </c>
      <c r="H33" s="124" t="n">
        <f aca="false">G33*D16</f>
        <v>0</v>
      </c>
      <c r="I33" s="125" t="n">
        <f aca="false">I16+M16</f>
        <v>0</v>
      </c>
      <c r="J33" s="106"/>
      <c r="K33" s="105" t="n">
        <f aca="false">AS16+AW16</f>
        <v>0</v>
      </c>
      <c r="L33" s="124" t="n">
        <f aca="false">K33*E16</f>
        <v>0</v>
      </c>
      <c r="M33" s="125" t="n">
        <f aca="false">M16+AU16</f>
        <v>0</v>
      </c>
      <c r="N33" s="115"/>
      <c r="O33" s="115"/>
      <c r="P33" s="106"/>
      <c r="Q33" s="127" t="n">
        <f aca="false">M33+I33+E33</f>
        <v>244260</v>
      </c>
      <c r="R33" s="106"/>
      <c r="S33" s="128" t="n">
        <f aca="false">T53</f>
        <v>4.28444826854293</v>
      </c>
      <c r="T33" s="106"/>
      <c r="U33" s="125" t="n">
        <f aca="false">S33*Q33</f>
        <v>1046519.3340743</v>
      </c>
    </row>
    <row r="34" customFormat="false" ht="12.75" hidden="false" customHeight="false" outlineLevel="0" collapsed="false">
      <c r="A34" s="108" t="n">
        <f aca="false">A17</f>
        <v>36861</v>
      </c>
      <c r="B34" s="123"/>
      <c r="C34" s="105" t="n">
        <f aca="false">AC17+Y17+U17+Q17</f>
        <v>0</v>
      </c>
      <c r="D34" s="124" t="n">
        <f aca="false">C34*C17</f>
        <v>0</v>
      </c>
      <c r="E34" s="125" t="n">
        <f aca="false">AE17+AA17+W17+S17</f>
        <v>252402</v>
      </c>
      <c r="F34" s="106"/>
      <c r="G34" s="105" t="n">
        <f aca="false">G17+K17</f>
        <v>0</v>
      </c>
      <c r="H34" s="124" t="n">
        <f aca="false">G34*D17</f>
        <v>0</v>
      </c>
      <c r="I34" s="125" t="n">
        <f aca="false">I17+M17</f>
        <v>0</v>
      </c>
      <c r="J34" s="106"/>
      <c r="K34" s="105" t="n">
        <f aca="false">AS17+AW17</f>
        <v>0</v>
      </c>
      <c r="L34" s="124" t="n">
        <f aca="false">K34*E17</f>
        <v>0</v>
      </c>
      <c r="M34" s="125" t="n">
        <f aca="false">M17+AU17</f>
        <v>0</v>
      </c>
      <c r="N34" s="115"/>
      <c r="O34" s="115"/>
      <c r="P34" s="106"/>
      <c r="Q34" s="127" t="n">
        <f aca="false">M34+I34+E34</f>
        <v>252402</v>
      </c>
      <c r="R34" s="106"/>
      <c r="S34" s="128" t="n">
        <f aca="false">T54</f>
        <v>4.2844362029083</v>
      </c>
      <c r="T34" s="106"/>
      <c r="U34" s="125" t="n">
        <f aca="false">S34*Q34</f>
        <v>1081400.26648646</v>
      </c>
    </row>
    <row r="35" customFormat="false" ht="12.75" hidden="false" customHeight="false" outlineLevel="0" collapsed="false">
      <c r="A35" s="129"/>
      <c r="B35" s="123"/>
      <c r="C35" s="119"/>
      <c r="D35" s="130"/>
      <c r="E35" s="131"/>
      <c r="F35" s="106"/>
      <c r="G35" s="119"/>
      <c r="H35" s="130"/>
      <c r="I35" s="131"/>
      <c r="J35" s="106"/>
      <c r="K35" s="119"/>
      <c r="L35" s="130"/>
      <c r="M35" s="131"/>
      <c r="N35" s="115"/>
      <c r="O35" s="115"/>
      <c r="P35" s="106"/>
      <c r="Q35" s="127"/>
      <c r="R35" s="106"/>
      <c r="S35" s="106"/>
      <c r="T35" s="106"/>
      <c r="U35" s="125"/>
    </row>
    <row r="36" customFormat="false" ht="12.75" hidden="false" customHeight="false" outlineLevel="0" collapsed="false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32" t="s">
        <v>122</v>
      </c>
      <c r="R36" s="106"/>
      <c r="S36" s="106"/>
      <c r="T36" s="106"/>
      <c r="U36" s="125" t="n">
        <f aca="false">SUM(U28:U34)</f>
        <v>6619956.67743701</v>
      </c>
      <c r="V36" s="4" t="n">
        <f aca="false">U36+Z48</f>
        <v>6610705.67743701</v>
      </c>
    </row>
    <row r="37" customFormat="false" ht="12.75" hidden="false" customHeight="false" outlineLevel="0" collapsed="false">
      <c r="E37" s="4" t="n">
        <f aca="false">SUM(E28:E34)</f>
        <v>1065090</v>
      </c>
      <c r="Q37" s="119"/>
      <c r="R37" s="120"/>
      <c r="S37" s="120"/>
      <c r="T37" s="120"/>
      <c r="U37" s="121"/>
    </row>
    <row r="38" customFormat="false" ht="12.75" hidden="false" customHeight="false" outlineLevel="0" collapsed="false">
      <c r="E38" s="4" t="n">
        <f aca="false">E28+I28+M28</f>
        <v>-26918.25</v>
      </c>
      <c r="P38" s="106"/>
      <c r="Q38" s="106"/>
      <c r="R38" s="106"/>
      <c r="S38" s="106"/>
      <c r="T38" s="106"/>
      <c r="U38" s="106"/>
      <c r="V38" s="106"/>
    </row>
    <row r="39" customFormat="false" ht="12.75" hidden="false" customHeight="false" outlineLevel="0" collapsed="false">
      <c r="P39" s="106"/>
      <c r="Q39" s="106"/>
      <c r="R39" s="106"/>
      <c r="S39" s="106"/>
      <c r="T39" s="106"/>
      <c r="U39" s="106"/>
      <c r="V39" s="106"/>
    </row>
    <row r="40" customFormat="false" ht="12.75" hidden="false" customHeight="false" outlineLevel="0" collapsed="false">
      <c r="A40" s="1" t="s">
        <v>123</v>
      </c>
      <c r="P40" s="106"/>
      <c r="Q40" s="106"/>
      <c r="R40" s="106"/>
      <c r="S40" s="106"/>
      <c r="T40" s="106"/>
      <c r="U40" s="106"/>
      <c r="V40" s="106"/>
    </row>
    <row r="42" customFormat="false" ht="12.75" hidden="false" customHeight="false" outlineLevel="0" collapsed="false">
      <c r="A42" s="0" t="s">
        <v>124</v>
      </c>
      <c r="D42" s="68" t="n">
        <v>1</v>
      </c>
    </row>
    <row r="43" customFormat="false" ht="12.75" hidden="false" customHeight="false" outlineLevel="0" collapsed="false">
      <c r="B43" s="95"/>
    </row>
    <row r="45" customFormat="false" ht="12.75" hidden="false" customHeight="false" outlineLevel="0" collapsed="false">
      <c r="C45" s="47" t="s">
        <v>102</v>
      </c>
      <c r="D45" s="47"/>
      <c r="E45" s="47"/>
      <c r="F45" s="47"/>
      <c r="G45" s="47"/>
      <c r="H45" s="47"/>
      <c r="I45" s="0" t="s">
        <v>45</v>
      </c>
      <c r="J45" s="47" t="s">
        <v>125</v>
      </c>
      <c r="K45" s="47"/>
      <c r="L45" s="47"/>
      <c r="N45" s="0" t="s">
        <v>126</v>
      </c>
      <c r="O45" s="0" t="s">
        <v>127</v>
      </c>
      <c r="P45" s="47" t="s">
        <v>128</v>
      </c>
      <c r="Q45" s="47"/>
      <c r="R45" s="47"/>
      <c r="S45" s="47"/>
      <c r="T45" s="0" t="s">
        <v>120</v>
      </c>
      <c r="V45" s="47" t="s">
        <v>129</v>
      </c>
      <c r="W45" s="47"/>
      <c r="X45" s="47"/>
      <c r="Y45" s="47"/>
      <c r="AA45" s="0" t="s">
        <v>130</v>
      </c>
      <c r="AB45" s="0" t="s">
        <v>131</v>
      </c>
    </row>
    <row r="46" customFormat="false" ht="12.75" hidden="false" customHeight="false" outlineLevel="0" collapsed="false">
      <c r="A46" s="133" t="s">
        <v>86</v>
      </c>
      <c r="C46" s="45" t="s">
        <v>108</v>
      </c>
      <c r="D46" s="45" t="s">
        <v>109</v>
      </c>
      <c r="E46" s="45" t="s">
        <v>107</v>
      </c>
      <c r="F46" s="45" t="s">
        <v>132</v>
      </c>
      <c r="G46" s="45" t="s">
        <v>133</v>
      </c>
      <c r="H46" s="45" t="s">
        <v>134</v>
      </c>
      <c r="J46" s="45" t="s">
        <v>135</v>
      </c>
      <c r="K46" s="45" t="s">
        <v>109</v>
      </c>
      <c r="L46" s="45" t="s">
        <v>134</v>
      </c>
      <c r="P46" s="45" t="s">
        <v>108</v>
      </c>
      <c r="Q46" s="45" t="s">
        <v>109</v>
      </c>
      <c r="R46" s="45" t="s">
        <v>107</v>
      </c>
      <c r="S46" s="0" t="s">
        <v>134</v>
      </c>
      <c r="V46" s="45" t="s">
        <v>108</v>
      </c>
      <c r="W46" s="45" t="s">
        <v>109</v>
      </c>
      <c r="X46" s="45" t="s">
        <v>107</v>
      </c>
      <c r="Y46" s="45" t="s">
        <v>134</v>
      </c>
      <c r="Z46" s="0" t="s">
        <v>136</v>
      </c>
    </row>
    <row r="47" customFormat="false" ht="12.75" hidden="true" customHeight="false" outlineLevel="0" collapsed="false">
      <c r="A47" s="61" t="n">
        <f aca="false">external_curves!A16</f>
        <v>45926</v>
      </c>
      <c r="C47" s="0" t="n">
        <f aca="false">E47+F47+G47</f>
        <v>0</v>
      </c>
      <c r="D47" s="0" t="n">
        <f aca="false">E47/16*13</f>
        <v>0</v>
      </c>
      <c r="E47" s="0" t="n">
        <f aca="false">ROM_hrs!N5</f>
        <v>0</v>
      </c>
      <c r="F47" s="0" t="n">
        <f aca="false">ROM_hrs!P5</f>
        <v>0</v>
      </c>
      <c r="G47" s="0" t="n">
        <f aca="false">ROM_hrs!O5</f>
        <v>0</v>
      </c>
      <c r="H47" s="0" t="n">
        <f aca="false">C47-(D47)</f>
        <v>0</v>
      </c>
      <c r="J47" s="134" t="n">
        <f aca="false">K47+L47</f>
        <v>0</v>
      </c>
      <c r="K47" s="134" t="n">
        <f aca="false">H27</f>
        <v>0</v>
      </c>
      <c r="L47" s="134" t="n">
        <f aca="false">L27</f>
        <v>0</v>
      </c>
      <c r="P47" s="135" t="n">
        <f aca="false">Q47*(external_curves!AT16)+Trades!S47*(external_curves!AU16)</f>
        <v>48.9664377883506</v>
      </c>
      <c r="Q47" s="136" t="n">
        <v>54.85</v>
      </c>
      <c r="R47" s="135" t="n">
        <f aca="false">Q47</f>
        <v>54.85</v>
      </c>
      <c r="S47" s="136" t="n">
        <v>42</v>
      </c>
      <c r="T47" s="35" t="n">
        <f aca="false">external_curves!O16</f>
        <v>1</v>
      </c>
      <c r="V47" s="95" t="n">
        <f aca="false">SUM(ROM_hrs!AI8:AJ38)</f>
        <v>0</v>
      </c>
      <c r="W47" s="95" t="n">
        <f aca="false">SUM(ROM_hrs!AH8:AH38)+SUM(ROM_hrs!AK8:AK38)</f>
        <v>0</v>
      </c>
      <c r="X47" s="137" t="n">
        <v>0</v>
      </c>
      <c r="Y47" s="95" t="n">
        <f aca="false">SUM(ROM_hrs!AL8:AL38)</f>
        <v>0</v>
      </c>
      <c r="AA47" s="95" t="n">
        <v>0</v>
      </c>
    </row>
    <row r="48" customFormat="false" ht="12.75" hidden="false" customHeight="false" outlineLevel="0" collapsed="false">
      <c r="A48" s="61" t="n">
        <f aca="false">external_curves!A17</f>
        <v>36678</v>
      </c>
      <c r="C48" s="0" t="n">
        <f aca="false">E48+F48+G48</f>
        <v>264</v>
      </c>
      <c r="D48" s="85" t="n">
        <f aca="false">external_curves!AJ17-169</f>
        <v>117</v>
      </c>
      <c r="E48" s="85" t="n">
        <f aca="false">external_curves!AI17-208</f>
        <v>144</v>
      </c>
      <c r="F48" s="85" t="n">
        <f aca="false">external_curves!AM17-144</f>
        <v>48</v>
      </c>
      <c r="G48" s="85" t="n">
        <f aca="false">external_curves!AL17-104</f>
        <v>72</v>
      </c>
      <c r="H48" s="85" t="n">
        <f aca="false">(external_curves!AH17-external_curves!AJ17)-(144+143)</f>
        <v>147</v>
      </c>
      <c r="J48" s="134" t="n">
        <f aca="false">K48+L48</f>
        <v>-10275</v>
      </c>
      <c r="K48" s="134" t="n">
        <f aca="false">H28</f>
        <v>-2925</v>
      </c>
      <c r="L48" s="134" t="n">
        <f aca="false">L28</f>
        <v>-7350</v>
      </c>
      <c r="N48" s="138" t="n">
        <f aca="false">(5800*30)-(5800*19)</f>
        <v>63800</v>
      </c>
      <c r="O48" s="55" t="n">
        <v>4.85</v>
      </c>
      <c r="P48" s="135" t="n">
        <f aca="false">Q48*(external_curves!AT17)+Trades!S48*(external_curves!AU17)</f>
        <v>63.1152777777778</v>
      </c>
      <c r="Q48" s="136" t="n">
        <v>81.5</v>
      </c>
      <c r="R48" s="135" t="n">
        <f aca="false">Q48</f>
        <v>81.5</v>
      </c>
      <c r="S48" s="136" t="n">
        <v>51</v>
      </c>
      <c r="T48" s="35" t="n">
        <f aca="false">external_curves!O17</f>
        <v>1</v>
      </c>
      <c r="V48" s="95" t="n">
        <f aca="false">T48*Trades!E28</f>
        <v>46662</v>
      </c>
      <c r="W48" s="95" t="n">
        <f aca="false">Trades!I28*Trades!T48</f>
        <v>-58880.25</v>
      </c>
      <c r="X48" s="137" t="n">
        <v>0</v>
      </c>
      <c r="Y48" s="95" t="n">
        <f aca="false">T48*M28</f>
        <v>-14700</v>
      </c>
      <c r="Z48" s="95" t="n">
        <f aca="false">N48*(O48-4.995)*T48</f>
        <v>-9251.00000000003</v>
      </c>
      <c r="AA48" s="95" t="n">
        <f aca="false">X48+W48+V48+Y48+Z48</f>
        <v>-36169.25</v>
      </c>
      <c r="AB48" s="95"/>
    </row>
    <row r="49" customFormat="false" ht="12.75" hidden="false" customHeight="false" outlineLevel="0" collapsed="false">
      <c r="A49" s="61" t="n">
        <f aca="false">external_curves!A18</f>
        <v>36708</v>
      </c>
      <c r="C49" s="0" t="n">
        <f aca="false">E49+F49+G49</f>
        <v>744</v>
      </c>
      <c r="D49" s="0" t="n">
        <f aca="false">E49/16*13</f>
        <v>273</v>
      </c>
      <c r="E49" s="0" t="n">
        <f aca="false">external_curves!AI18</f>
        <v>336</v>
      </c>
      <c r="F49" s="0" t="n">
        <f aca="false">external_curves!AM18</f>
        <v>240</v>
      </c>
      <c r="G49" s="0" t="n">
        <f aca="false">external_curves!AL18</f>
        <v>168</v>
      </c>
      <c r="H49" s="0" t="n">
        <f aca="false">C49-(D49)</f>
        <v>471</v>
      </c>
      <c r="J49" s="134" t="n">
        <f aca="false">K49+L49</f>
        <v>-11775</v>
      </c>
      <c r="K49" s="134" t="n">
        <f aca="false">H29</f>
        <v>0</v>
      </c>
      <c r="L49" s="134" t="n">
        <f aca="false">L29</f>
        <v>-11775</v>
      </c>
      <c r="P49" s="135" t="n">
        <f aca="false">Q49*(external_curves!AT18)+Trades!S49*(external_curves!AU18)</f>
        <v>51.8245967741936</v>
      </c>
      <c r="Q49" s="136" t="n">
        <v>70.5</v>
      </c>
      <c r="R49" s="135" t="n">
        <f aca="false">Q49</f>
        <v>70.5</v>
      </c>
      <c r="S49" s="136" t="n">
        <v>41</v>
      </c>
      <c r="T49" s="35" t="n">
        <f aca="false">external_curves!O18</f>
        <v>4.26310693486652</v>
      </c>
      <c r="V49" s="95" t="n">
        <f aca="false">T49*Trades!E29</f>
        <v>560607.088148817</v>
      </c>
      <c r="W49" s="95" t="n">
        <f aca="false">Trades!I29*Trades!T49</f>
        <v>418105.278413768</v>
      </c>
      <c r="X49" s="95" t="n">
        <v>0</v>
      </c>
      <c r="Y49" s="95" t="n">
        <f aca="false">T49*Trades!M29</f>
        <v>501980.841580533</v>
      </c>
      <c r="AA49" s="95" t="n">
        <f aca="false">Y49+W49+V49</f>
        <v>1480693.20814312</v>
      </c>
      <c r="AB49" s="95"/>
    </row>
    <row r="50" customFormat="false" ht="12.75" hidden="false" customHeight="false" outlineLevel="0" collapsed="false">
      <c r="A50" s="61" t="n">
        <f aca="false">external_curves!A19</f>
        <v>36739</v>
      </c>
      <c r="C50" s="0" t="n">
        <f aca="false">E50+F50+G50</f>
        <v>744</v>
      </c>
      <c r="D50" s="0" t="n">
        <f aca="false">E50/16*13</f>
        <v>299</v>
      </c>
      <c r="E50" s="0" t="n">
        <f aca="false">external_curves!AI19</f>
        <v>368</v>
      </c>
      <c r="F50" s="0" t="n">
        <f aca="false">external_curves!AM19</f>
        <v>192</v>
      </c>
      <c r="G50" s="0" t="n">
        <f aca="false">external_curves!AL19</f>
        <v>184</v>
      </c>
      <c r="H50" s="0" t="n">
        <f aca="false">C50-(D50)</f>
        <v>445</v>
      </c>
      <c r="J50" s="134" t="n">
        <f aca="false">K50+L50</f>
        <v>-11125</v>
      </c>
      <c r="K50" s="134" t="n">
        <f aca="false">H30</f>
        <v>0</v>
      </c>
      <c r="L50" s="134" t="n">
        <f aca="false">L30</f>
        <v>-11125</v>
      </c>
      <c r="P50" s="135" t="n">
        <f aca="false">Q50*(external_curves!AT19)+Trades!S50*(external_curves!AU19)</f>
        <v>52.8555107526882</v>
      </c>
      <c r="Q50" s="136" t="n">
        <v>70.5</v>
      </c>
      <c r="R50" s="135" t="n">
        <f aca="false">Q50</f>
        <v>70.5</v>
      </c>
      <c r="S50" s="136" t="n">
        <v>41</v>
      </c>
      <c r="T50" s="35" t="n">
        <f aca="false">external_curves!O19</f>
        <v>4.28249296946718</v>
      </c>
      <c r="V50" s="95" t="n">
        <f aca="false">T50*Trades!E30</f>
        <v>563156.390470873</v>
      </c>
      <c r="W50" s="95" t="n">
        <f aca="false">Trades!I30*Trades!T50</f>
        <v>460007.194185044</v>
      </c>
      <c r="X50" s="95" t="n">
        <v>0</v>
      </c>
      <c r="Y50" s="95" t="n">
        <f aca="false">T50*Trades!M30</f>
        <v>476427.342853224</v>
      </c>
      <c r="AA50" s="95" t="n">
        <f aca="false">Y50+W50+V50</f>
        <v>1499590.92750914</v>
      </c>
      <c r="AB50" s="95"/>
    </row>
    <row r="51" customFormat="false" ht="12.75" hidden="false" customHeight="false" outlineLevel="0" collapsed="false">
      <c r="A51" s="61" t="n">
        <f aca="false">external_curves!A20</f>
        <v>36770</v>
      </c>
      <c r="C51" s="0" t="n">
        <f aca="false">E51+F51+G51</f>
        <v>720</v>
      </c>
      <c r="D51" s="0" t="n">
        <f aca="false">E51/16*13</f>
        <v>273</v>
      </c>
      <c r="E51" s="0" t="n">
        <f aca="false">external_curves!AI20</f>
        <v>336</v>
      </c>
      <c r="F51" s="0" t="n">
        <f aca="false">external_curves!AM20</f>
        <v>216</v>
      </c>
      <c r="G51" s="0" t="n">
        <f aca="false">external_curves!AL20</f>
        <v>168</v>
      </c>
      <c r="H51" s="0" t="n">
        <f aca="false">C51-(D51)</f>
        <v>447</v>
      </c>
      <c r="J51" s="134" t="n">
        <f aca="false">K51+L51</f>
        <v>-11175</v>
      </c>
      <c r="K51" s="134" t="n">
        <f aca="false">H31</f>
        <v>0</v>
      </c>
      <c r="L51" s="134" t="n">
        <f aca="false">L31</f>
        <v>-11175</v>
      </c>
      <c r="P51" s="135" t="n">
        <f aca="false">Q51*(external_curves!AT20)+Trades!S51*(external_curves!AU20)</f>
        <v>52.1854166666667</v>
      </c>
      <c r="Q51" s="136" t="n">
        <v>70.5</v>
      </c>
      <c r="R51" s="135" t="n">
        <f aca="false">Q51</f>
        <v>70.5</v>
      </c>
      <c r="S51" s="136" t="n">
        <v>41</v>
      </c>
      <c r="T51" s="35" t="n">
        <f aca="false">external_curves!O20</f>
        <v>4.28276813511487</v>
      </c>
      <c r="V51" s="95" t="n">
        <f aca="false">T51*Trades!E31</f>
        <v>545025.072874718</v>
      </c>
      <c r="W51" s="95" t="n">
        <f aca="false">Trades!I31*Trades!T51</f>
        <v>420033.555543424</v>
      </c>
      <c r="X51" s="95" t="n">
        <v>0</v>
      </c>
      <c r="Y51" s="95" t="n">
        <f aca="false">T51*Trades!M31</f>
        <v>478599.339099087</v>
      </c>
      <c r="AA51" s="95" t="n">
        <f aca="false">Y51+W51+V51</f>
        <v>1443657.96751723</v>
      </c>
      <c r="AB51" s="95"/>
    </row>
    <row r="52" customFormat="false" ht="12.75" hidden="false" customHeight="false" outlineLevel="0" collapsed="false">
      <c r="A52" s="61" t="n">
        <f aca="false">external_curves!A21</f>
        <v>36800</v>
      </c>
      <c r="C52" s="0" t="n">
        <f aca="false">E52+F52+G52</f>
        <v>744</v>
      </c>
      <c r="D52" s="0" t="n">
        <f aca="false">E52/16*13</f>
        <v>286</v>
      </c>
      <c r="E52" s="0" t="n">
        <f aca="false">external_curves!AI21</f>
        <v>352</v>
      </c>
      <c r="F52" s="0" t="n">
        <f aca="false">external_curves!AM21</f>
        <v>216</v>
      </c>
      <c r="G52" s="0" t="n">
        <f aca="false">external_curves!AL21</f>
        <v>176</v>
      </c>
      <c r="H52" s="0" t="n">
        <f aca="false">C52-(D52)</f>
        <v>458</v>
      </c>
      <c r="J52" s="134" t="n">
        <f aca="false">K52+L52</f>
        <v>-18600</v>
      </c>
      <c r="K52" s="134" t="n">
        <f aca="false">H32</f>
        <v>-7150</v>
      </c>
      <c r="L52" s="134" t="n">
        <f aca="false">L32</f>
        <v>-11450</v>
      </c>
      <c r="P52" s="135" t="n">
        <f aca="false">Q52*(external_curves!AT21)+Trades!S52*(external_curves!AU21)</f>
        <v>56.877688172043</v>
      </c>
      <c r="Q52" s="136" t="n">
        <v>77.5</v>
      </c>
      <c r="R52" s="135" t="n">
        <f aca="false">Fwd_curves!F91</f>
        <v>74</v>
      </c>
      <c r="S52" s="136" t="n">
        <v>44</v>
      </c>
      <c r="T52" s="35" t="n">
        <f aca="false">external_curves!O21</f>
        <v>4.28431364507189</v>
      </c>
      <c r="V52" s="95" t="n">
        <f aca="false">T52*Trades!E32</f>
        <v>563395.812954243</v>
      </c>
      <c r="W52" s="95" t="n">
        <f aca="false">Trades!I32*Trades!T52</f>
        <v>-811770.327899996</v>
      </c>
      <c r="X52" s="95" t="n">
        <v>0</v>
      </c>
      <c r="Y52" s="95" t="n">
        <f aca="false">T52*Trades!M32</f>
        <v>343387.738652512</v>
      </c>
      <c r="AA52" s="95" t="n">
        <f aca="false">Y52+W52+V52</f>
        <v>95013.2237067593</v>
      </c>
      <c r="AB52" s="95"/>
    </row>
    <row r="53" customFormat="false" ht="12.75" hidden="false" customHeight="false" outlineLevel="0" collapsed="false">
      <c r="A53" s="61" t="n">
        <f aca="false">external_curves!A22</f>
        <v>36831</v>
      </c>
      <c r="C53" s="0" t="n">
        <f aca="false">E53+F53+G53</f>
        <v>720</v>
      </c>
      <c r="D53" s="0" t="n">
        <f aca="false">E53/16*13</f>
        <v>286</v>
      </c>
      <c r="E53" s="0" t="n">
        <f aca="false">external_curves!AI22</f>
        <v>352</v>
      </c>
      <c r="F53" s="0" t="n">
        <f aca="false">external_curves!AM22</f>
        <v>192</v>
      </c>
      <c r="G53" s="0" t="n">
        <f aca="false">external_curves!AL22</f>
        <v>176</v>
      </c>
      <c r="H53" s="0" t="n">
        <f aca="false">C53-(D53)</f>
        <v>434</v>
      </c>
      <c r="J53" s="134" t="n">
        <f aca="false">K53+L53</f>
        <v>0</v>
      </c>
      <c r="K53" s="134" t="n">
        <f aca="false">H33</f>
        <v>0</v>
      </c>
      <c r="L53" s="134" t="n">
        <f aca="false">L33</f>
        <v>0</v>
      </c>
      <c r="P53" s="135" t="n">
        <f aca="false">Q53*(external_curves!AT22)+Trades!S53*(external_curves!AU22)</f>
        <v>52.5194444444444</v>
      </c>
      <c r="Q53" s="136" t="n">
        <v>70</v>
      </c>
      <c r="R53" s="135" t="n">
        <f aca="false">Q53</f>
        <v>70</v>
      </c>
      <c r="S53" s="136" t="n">
        <v>41</v>
      </c>
      <c r="T53" s="35" t="n">
        <f aca="false">external_curves!O22</f>
        <v>4.28444826854293</v>
      </c>
      <c r="V53" s="95" t="n">
        <f aca="false">T53*Trades!E33</f>
        <v>1046519.3340743</v>
      </c>
      <c r="W53" s="95" t="n">
        <f aca="false">Trades!I33*Trades!T53</f>
        <v>0</v>
      </c>
      <c r="X53" s="95" t="n">
        <f aca="false">T53*Trades!M33</f>
        <v>0</v>
      </c>
      <c r="Y53" s="95" t="n">
        <f aca="false">T53*Trades!M33</f>
        <v>0</v>
      </c>
      <c r="AA53" s="95" t="n">
        <f aca="false">X53+W53+V53</f>
        <v>1046519.3340743</v>
      </c>
      <c r="AB53" s="95"/>
    </row>
    <row r="54" customFormat="false" ht="12.75" hidden="false" customHeight="false" outlineLevel="0" collapsed="false">
      <c r="A54" s="61" t="n">
        <f aca="false">external_curves!A23</f>
        <v>36861</v>
      </c>
      <c r="C54" s="0" t="n">
        <f aca="false">E54+F54+G54</f>
        <v>744</v>
      </c>
      <c r="D54" s="0" t="n">
        <f aca="false">E54/16*13</f>
        <v>273</v>
      </c>
      <c r="E54" s="0" t="n">
        <f aca="false">external_curves!AI23</f>
        <v>336</v>
      </c>
      <c r="F54" s="0" t="n">
        <f aca="false">external_curves!AM23</f>
        <v>240</v>
      </c>
      <c r="G54" s="0" t="n">
        <f aca="false">external_curves!AL23</f>
        <v>168</v>
      </c>
      <c r="H54" s="0" t="n">
        <f aca="false">C54-(D54)</f>
        <v>471</v>
      </c>
      <c r="J54" s="134" t="n">
        <f aca="false">K54+L54</f>
        <v>0</v>
      </c>
      <c r="K54" s="134" t="n">
        <f aca="false">H34</f>
        <v>0</v>
      </c>
      <c r="L54" s="134" t="n">
        <f aca="false">L34</f>
        <v>0</v>
      </c>
      <c r="P54" s="135" t="n">
        <f aca="false">Q54*(external_curves!AT23)+Trades!S54*(external_curves!AU23)</f>
        <v>51.6411290322581</v>
      </c>
      <c r="Q54" s="136" t="n">
        <v>70</v>
      </c>
      <c r="R54" s="135" t="n">
        <f aca="false">Q54</f>
        <v>70</v>
      </c>
      <c r="S54" s="136" t="n">
        <v>41</v>
      </c>
      <c r="T54" s="35" t="n">
        <f aca="false">external_curves!O23</f>
        <v>4.2844362029083</v>
      </c>
      <c r="V54" s="95" t="n">
        <f aca="false">T54*Trades!E34</f>
        <v>1081400.26648646</v>
      </c>
      <c r="W54" s="95" t="n">
        <f aca="false">Trades!I34*Trades!T54</f>
        <v>0</v>
      </c>
      <c r="X54" s="95" t="n">
        <f aca="false">T54*Trades!M34</f>
        <v>0</v>
      </c>
      <c r="Y54" s="95" t="n">
        <f aca="false">T54*Trades!M34</f>
        <v>0</v>
      </c>
      <c r="AA54" s="95" t="n">
        <f aca="false">X54+W54+V54</f>
        <v>1081400.26648646</v>
      </c>
      <c r="AB54" s="95"/>
    </row>
    <row r="55" customFormat="false" ht="12.75" hidden="false" customHeight="false" outlineLevel="0" collapsed="false">
      <c r="A55" s="52"/>
    </row>
    <row r="56" customFormat="false" ht="12.75" hidden="false" customHeight="false" outlineLevel="0" collapsed="false">
      <c r="A56" s="52"/>
      <c r="P56" s="139" t="n">
        <f aca="false">AVERAGE(P48:P54)</f>
        <v>54.4312948028674</v>
      </c>
      <c r="T56" s="95"/>
      <c r="V56" s="95" t="n">
        <f aca="false">SUM(V48:V54)</f>
        <v>4406765.96500941</v>
      </c>
      <c r="W56" s="95" t="n">
        <f aca="false">SUM(W48:W54)</f>
        <v>427495.450242241</v>
      </c>
      <c r="X56" s="95" t="n">
        <f aca="false">SUM(X48:X54)</f>
        <v>0</v>
      </c>
      <c r="Y56" s="95"/>
      <c r="AA56" s="95" t="n">
        <f aca="false">SUM(AA47:AA54)</f>
        <v>6610705.67743701</v>
      </c>
    </row>
    <row r="57" customFormat="false" ht="12.75" hidden="false" customHeight="false" outlineLevel="0" collapsed="false">
      <c r="A57" s="52"/>
      <c r="Z57" s="0" t="s">
        <v>137</v>
      </c>
      <c r="AA57" s="95" t="n">
        <f aca="false">P59</f>
        <v>347085.75</v>
      </c>
      <c r="AB57" s="95"/>
    </row>
    <row r="58" customFormat="false" ht="12.75" hidden="false" customHeight="false" outlineLevel="0" collapsed="false">
      <c r="Z58" s="0" t="s">
        <v>138</v>
      </c>
      <c r="AA58" s="95" t="n">
        <f aca="false">AA56-AA57</f>
        <v>6263619.92743701</v>
      </c>
    </row>
    <row r="59" customFormat="false" ht="12.75" hidden="false" customHeight="false" outlineLevel="0" collapsed="false">
      <c r="P59" s="54" t="n">
        <v>347085.75</v>
      </c>
    </row>
    <row r="64" customFormat="false" ht="25.5" hidden="false" customHeight="false" outlineLevel="0" collapsed="false">
      <c r="P64" s="51" t="s">
        <v>139</v>
      </c>
      <c r="Q64" s="51" t="s">
        <v>140</v>
      </c>
      <c r="R64" s="51" t="s">
        <v>141</v>
      </c>
      <c r="S64" s="51" t="s">
        <v>142</v>
      </c>
      <c r="T64" s="51" t="s">
        <v>143</v>
      </c>
      <c r="U64" s="51" t="s">
        <v>144</v>
      </c>
    </row>
    <row r="65" customFormat="false" ht="12.75" hidden="false" customHeight="false" outlineLevel="0" collapsed="false">
      <c r="A65" s="61" t="n">
        <f aca="false">A48</f>
        <v>36678</v>
      </c>
      <c r="P65" s="140" t="n">
        <f aca="false">(Q65*13+R65*3)/16</f>
        <v>60.1441234872736</v>
      </c>
      <c r="Q65" s="140" t="n">
        <f aca="false">hourly_curves!D6</f>
        <v>62.2927673689521</v>
      </c>
      <c r="R65" s="140" t="n">
        <f aca="false">hourly_curves!E6</f>
        <v>50.8333333333333</v>
      </c>
      <c r="S65" s="54" t="n">
        <f aca="false">hourly_curves!C6</f>
        <v>35</v>
      </c>
      <c r="T65" s="54" t="n">
        <f aca="false">hourly_curves!B30</f>
        <v>52.875</v>
      </c>
      <c r="U65" s="54" t="n">
        <f aca="false">hourly_curves!B53</f>
        <v>49.9375</v>
      </c>
    </row>
    <row r="66" customFormat="false" ht="12.75" hidden="false" customHeight="false" outlineLevel="0" collapsed="false">
      <c r="A66" s="61" t="n">
        <f aca="false">A49</f>
        <v>36708</v>
      </c>
    </row>
    <row r="67" customFormat="false" ht="12.75" hidden="false" customHeight="false" outlineLevel="0" collapsed="false">
      <c r="A67" s="61" t="n">
        <f aca="false">A50</f>
        <v>36739</v>
      </c>
    </row>
    <row r="68" customFormat="false" ht="12.75" hidden="false" customHeight="false" outlineLevel="0" collapsed="false">
      <c r="A68" s="61" t="n">
        <f aca="false">A51</f>
        <v>36770</v>
      </c>
    </row>
    <row r="69" customFormat="false" ht="12.75" hidden="false" customHeight="false" outlineLevel="0" collapsed="false">
      <c r="A69" s="61" t="n">
        <f aca="false">A52</f>
        <v>36800</v>
      </c>
    </row>
    <row r="70" customFormat="false" ht="12.75" hidden="false" customHeight="false" outlineLevel="0" collapsed="false">
      <c r="A70" s="61" t="n">
        <f aca="false">A53</f>
        <v>36831</v>
      </c>
    </row>
    <row r="71" customFormat="false" ht="12.75" hidden="false" customHeight="false" outlineLevel="0" collapsed="false">
      <c r="A71" s="61" t="n">
        <f aca="false">A54</f>
        <v>36861</v>
      </c>
    </row>
    <row r="72" customFormat="false" ht="12.75" hidden="false" customHeight="false" outlineLevel="0" collapsed="false">
      <c r="A72" s="61"/>
    </row>
    <row r="73" customFormat="false" ht="12.75" hidden="false" customHeight="false" outlineLevel="0" collapsed="false">
      <c r="A73" s="61"/>
    </row>
    <row r="74" customFormat="false" ht="12.75" hidden="false" customHeight="false" outlineLevel="0" collapsed="false">
      <c r="A74" s="61"/>
    </row>
    <row r="75" customFormat="false" ht="12.75" hidden="false" customHeight="false" outlineLevel="0" collapsed="false">
      <c r="A75" s="61"/>
    </row>
    <row r="76" customFormat="false" ht="12.75" hidden="false" customHeight="false" outlineLevel="0" collapsed="false">
      <c r="A76" s="61"/>
    </row>
    <row r="77" customFormat="false" ht="12.75" hidden="false" customHeight="false" outlineLevel="0" collapsed="false">
      <c r="A77" s="61"/>
    </row>
    <row r="78" customFormat="false" ht="12.75" hidden="false" customHeight="false" outlineLevel="0" collapsed="false">
      <c r="A78" s="61"/>
    </row>
  </sheetData>
  <mergeCells count="7">
    <mergeCell ref="C8:E8"/>
    <mergeCell ref="G8:I8"/>
    <mergeCell ref="M8:O8"/>
    <mergeCell ref="C45:H45"/>
    <mergeCell ref="J45:L45"/>
    <mergeCell ref="P45:S45"/>
    <mergeCell ref="V45:Y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38" activePane="bottomRight" state="frozen"/>
      <selection pane="topLeft" activeCell="A1" activeCellId="0" sqref="A1"/>
      <selection pane="topRight" activeCell="B1" activeCellId="0" sqref="B1"/>
      <selection pane="bottomLeft" activeCell="A38" activeCellId="0" sqref="A38"/>
      <selection pane="bottomRight" activeCell="F56" activeCellId="0" sqref="F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6.7"/>
    <col collapsed="false" customWidth="true" hidden="false" outlineLevel="0" max="4" min="4" style="0" width="19.28"/>
    <col collapsed="false" customWidth="true" hidden="false" outlineLevel="0" max="5" min="5" style="0" width="18.14"/>
    <col collapsed="false" customWidth="true" hidden="false" outlineLevel="0" max="6" min="6" style="0" width="15.28"/>
  </cols>
  <sheetData>
    <row r="4" customFormat="false" ht="12.75" hidden="false" customHeight="false" outlineLevel="0" collapsed="false">
      <c r="A4" s="0" t="s">
        <v>145</v>
      </c>
    </row>
    <row r="5" customFormat="false" ht="12.75" hidden="false" customHeight="false" outlineLevel="0" collapsed="false">
      <c r="A5" s="0" t="s">
        <v>146</v>
      </c>
      <c r="D5" s="141" t="s">
        <v>147</v>
      </c>
      <c r="E5" s="141"/>
      <c r="F5" s="141"/>
    </row>
    <row r="6" customFormat="false" ht="12.75" hidden="false" customHeight="false" outlineLevel="0" collapsed="false">
      <c r="B6" s="0" t="s">
        <v>148</v>
      </c>
      <c r="D6" s="0" t="s">
        <v>149</v>
      </c>
      <c r="E6" s="0" t="s">
        <v>150</v>
      </c>
      <c r="F6" s="0" t="s">
        <v>151</v>
      </c>
    </row>
    <row r="7" customFormat="false" ht="12.75" hidden="false" customHeight="false" outlineLevel="0" collapsed="false">
      <c r="A7" s="61" t="n">
        <v>36646</v>
      </c>
      <c r="B7" s="0" t="n">
        <v>0</v>
      </c>
    </row>
    <row r="8" customFormat="false" ht="12.75" hidden="false" customHeight="false" outlineLevel="0" collapsed="false">
      <c r="A8" s="61" t="n">
        <v>36647</v>
      </c>
    </row>
    <row r="9" customFormat="false" ht="12.75" hidden="false" customHeight="false" outlineLevel="0" collapsed="false">
      <c r="A9" s="61" t="n">
        <v>36648</v>
      </c>
    </row>
    <row r="10" customFormat="false" ht="12.75" hidden="false" customHeight="false" outlineLevel="0" collapsed="false">
      <c r="A10" s="61" t="n">
        <v>36649</v>
      </c>
    </row>
    <row r="11" customFormat="false" ht="12.75" hidden="false" customHeight="false" outlineLevel="0" collapsed="false">
      <c r="A11" s="61" t="n">
        <v>36650</v>
      </c>
    </row>
    <row r="12" customFormat="false" ht="12.75" hidden="false" customHeight="false" outlineLevel="0" collapsed="false">
      <c r="A12" s="61" t="n">
        <v>36651</v>
      </c>
    </row>
    <row r="13" customFormat="false" ht="12.75" hidden="false" customHeight="false" outlineLevel="0" collapsed="false">
      <c r="A13" s="61" t="n">
        <v>36652</v>
      </c>
    </row>
    <row r="14" customFormat="false" ht="12.75" hidden="false" customHeight="false" outlineLevel="0" collapsed="false">
      <c r="A14" s="61" t="n">
        <v>36653</v>
      </c>
    </row>
    <row r="15" customFormat="false" ht="12.75" hidden="false" customHeight="false" outlineLevel="0" collapsed="false">
      <c r="A15" s="61" t="n">
        <v>36654</v>
      </c>
    </row>
    <row r="16" customFormat="false" ht="12.75" hidden="false" customHeight="false" outlineLevel="0" collapsed="false">
      <c r="A16" s="61" t="n">
        <v>36655</v>
      </c>
    </row>
    <row r="17" customFormat="false" ht="12.75" hidden="false" customHeight="false" outlineLevel="0" collapsed="false">
      <c r="A17" s="61" t="n">
        <v>36656</v>
      </c>
      <c r="B17" s="95" t="n">
        <v>1262688</v>
      </c>
      <c r="D17" s="95" t="n">
        <v>26580</v>
      </c>
      <c r="E17" s="95" t="n">
        <v>26305</v>
      </c>
      <c r="F17" s="95" t="n">
        <f aca="false">E17-D17</f>
        <v>-275</v>
      </c>
    </row>
    <row r="18" customFormat="false" ht="12.75" hidden="false" customHeight="false" outlineLevel="0" collapsed="false">
      <c r="A18" s="61" t="n">
        <v>36657</v>
      </c>
      <c r="B18" s="95" t="n">
        <v>1252588</v>
      </c>
      <c r="D18" s="54" t="n">
        <v>28868</v>
      </c>
      <c r="E18" s="54" t="n">
        <v>64868</v>
      </c>
      <c r="F18" s="95" t="n">
        <f aca="false">E18-D18</f>
        <v>36000</v>
      </c>
    </row>
    <row r="19" customFormat="false" ht="12.75" hidden="false" customHeight="false" outlineLevel="0" collapsed="false">
      <c r="A19" s="61" t="n">
        <v>36658</v>
      </c>
      <c r="B19" s="95" t="n">
        <v>1303538</v>
      </c>
      <c r="D19" s="54" t="n">
        <v>27573</v>
      </c>
      <c r="E19" s="54" t="n">
        <v>29433.62</v>
      </c>
      <c r="F19" s="95" t="n">
        <f aca="false">E19-D19</f>
        <v>1860.62</v>
      </c>
    </row>
    <row r="20" customFormat="false" ht="12.75" hidden="false" customHeight="false" outlineLevel="0" collapsed="false">
      <c r="A20" s="61" t="n">
        <v>36659</v>
      </c>
      <c r="E20" s="54" t="n">
        <v>6000</v>
      </c>
      <c r="F20" s="95" t="n">
        <f aca="false">E20-D20</f>
        <v>6000</v>
      </c>
    </row>
    <row r="21" customFormat="false" ht="12.75" hidden="false" customHeight="false" outlineLevel="0" collapsed="false">
      <c r="A21" s="61" t="n">
        <v>36660</v>
      </c>
      <c r="E21" s="54" t="n">
        <v>6000</v>
      </c>
      <c r="F21" s="95" t="n">
        <f aca="false">E21-D21</f>
        <v>6000</v>
      </c>
    </row>
    <row r="22" customFormat="false" ht="12.75" hidden="false" customHeight="false" outlineLevel="0" collapsed="false">
      <c r="A22" s="61" t="n">
        <v>36661</v>
      </c>
      <c r="B22" s="95" t="n">
        <v>1280789</v>
      </c>
      <c r="D22" s="95" t="n">
        <v>13522</v>
      </c>
      <c r="E22" s="95" t="n">
        <v>14004</v>
      </c>
      <c r="F22" s="95" t="n">
        <f aca="false">E22-D22</f>
        <v>482</v>
      </c>
    </row>
    <row r="23" customFormat="false" ht="12.75" hidden="false" customHeight="false" outlineLevel="0" collapsed="false">
      <c r="A23" s="61" t="n">
        <v>36662</v>
      </c>
      <c r="B23" s="95" t="n">
        <v>1268121</v>
      </c>
      <c r="D23" s="95" t="n">
        <v>15554</v>
      </c>
      <c r="E23" s="95" t="n">
        <v>15614</v>
      </c>
      <c r="F23" s="95" t="n">
        <f aca="false">E23-D23</f>
        <v>60</v>
      </c>
    </row>
    <row r="24" customFormat="false" ht="12.75" hidden="false" customHeight="false" outlineLevel="0" collapsed="false">
      <c r="A24" s="61" t="n">
        <v>36663</v>
      </c>
      <c r="B24" s="95" t="n">
        <v>1257320</v>
      </c>
      <c r="D24" s="95" t="n">
        <v>13481</v>
      </c>
      <c r="E24" s="95" t="n">
        <v>14163</v>
      </c>
      <c r="F24" s="95" t="n">
        <f aca="false">E24-D24</f>
        <v>682</v>
      </c>
    </row>
    <row r="25" customFormat="false" ht="12.75" hidden="false" customHeight="false" outlineLevel="0" collapsed="false">
      <c r="A25" s="61" t="n">
        <v>36664</v>
      </c>
      <c r="B25" s="95" t="n">
        <v>1676533</v>
      </c>
      <c r="D25" s="95" t="n">
        <v>11000</v>
      </c>
      <c r="E25" s="95" t="n">
        <v>8042</v>
      </c>
      <c r="F25" s="95" t="n">
        <f aca="false">E25-D25</f>
        <v>-2958</v>
      </c>
    </row>
    <row r="26" customFormat="false" ht="12.75" hidden="false" customHeight="false" outlineLevel="0" collapsed="false">
      <c r="A26" s="61" t="n">
        <v>36665</v>
      </c>
      <c r="B26" s="95" t="n">
        <v>1666092</v>
      </c>
      <c r="D26" s="95" t="n">
        <v>10500</v>
      </c>
      <c r="E26" s="95" t="n">
        <v>11129.75</v>
      </c>
      <c r="F26" s="95" t="n">
        <f aca="false">E26-D26</f>
        <v>629.75</v>
      </c>
    </row>
    <row r="27" customFormat="false" ht="12.75" hidden="false" customHeight="false" outlineLevel="0" collapsed="false">
      <c r="A27" s="61" t="n">
        <v>36666</v>
      </c>
      <c r="E27" s="95" t="n">
        <v>10352.5</v>
      </c>
      <c r="F27" s="95" t="n">
        <f aca="false">E27-D27</f>
        <v>10352.5</v>
      </c>
    </row>
    <row r="28" customFormat="false" ht="12.75" hidden="false" customHeight="false" outlineLevel="0" collapsed="false">
      <c r="A28" s="61" t="n">
        <v>36667</v>
      </c>
      <c r="E28" s="95" t="n">
        <v>9288.25</v>
      </c>
      <c r="F28" s="95" t="n">
        <f aca="false">E28-D28</f>
        <v>9288.25</v>
      </c>
    </row>
    <row r="29" customFormat="false" ht="12.75" hidden="false" customHeight="false" outlineLevel="0" collapsed="false">
      <c r="A29" s="61" t="n">
        <v>36668</v>
      </c>
      <c r="B29" s="95" t="n">
        <v>1602507</v>
      </c>
      <c r="D29" s="95" t="n">
        <v>4788</v>
      </c>
      <c r="E29" s="95" t="n">
        <v>11531</v>
      </c>
      <c r="F29" s="95" t="n">
        <f aca="false">E29-D29</f>
        <v>6743</v>
      </c>
    </row>
    <row r="30" customFormat="false" ht="12.75" hidden="false" customHeight="false" outlineLevel="0" collapsed="false">
      <c r="A30" s="61" t="n">
        <v>36669</v>
      </c>
      <c r="B30" s="95" t="n">
        <v>1591024</v>
      </c>
      <c r="D30" s="95" t="n">
        <v>6170</v>
      </c>
      <c r="E30" s="95" t="n">
        <v>13571</v>
      </c>
      <c r="F30" s="95" t="n">
        <f aca="false">E30-D30</f>
        <v>7401</v>
      </c>
    </row>
    <row r="31" customFormat="false" ht="12.75" hidden="false" customHeight="false" outlineLevel="0" collapsed="false">
      <c r="A31" s="61" t="n">
        <v>36670</v>
      </c>
      <c r="B31" s="95" t="n">
        <v>1559495</v>
      </c>
      <c r="D31" s="95" t="n">
        <v>10823</v>
      </c>
      <c r="E31" s="95" t="n">
        <v>11103</v>
      </c>
      <c r="F31" s="95" t="n">
        <f aca="false">E31-D31</f>
        <v>280</v>
      </c>
    </row>
    <row r="32" customFormat="false" ht="12.75" hidden="false" customHeight="false" outlineLevel="0" collapsed="false">
      <c r="A32" s="61" t="n">
        <v>36671</v>
      </c>
      <c r="B32" s="95" t="n">
        <v>1539621</v>
      </c>
      <c r="D32" s="95" t="n">
        <v>11897</v>
      </c>
      <c r="E32" s="95" t="n">
        <v>12746</v>
      </c>
      <c r="F32" s="95" t="n">
        <f aca="false">E32-D32</f>
        <v>849</v>
      </c>
    </row>
    <row r="33" customFormat="false" ht="12.75" hidden="false" customHeight="false" outlineLevel="0" collapsed="false">
      <c r="A33" s="61" t="n">
        <v>36672</v>
      </c>
      <c r="B33" s="95" t="n">
        <v>1523110</v>
      </c>
      <c r="D33" s="95" t="n">
        <v>12035</v>
      </c>
      <c r="E33" s="95" t="n">
        <v>12306.75</v>
      </c>
      <c r="F33" s="95" t="n">
        <f aca="false">E33-D33</f>
        <v>271.75</v>
      </c>
    </row>
    <row r="34" customFormat="false" ht="12.75" hidden="false" customHeight="false" outlineLevel="0" collapsed="false">
      <c r="A34" s="61" t="n">
        <v>36673</v>
      </c>
      <c r="D34" s="95"/>
      <c r="E34" s="95" t="n">
        <v>5939</v>
      </c>
      <c r="F34" s="95" t="n">
        <f aca="false">E34-D34</f>
        <v>5939</v>
      </c>
    </row>
    <row r="35" customFormat="false" ht="12.75" hidden="false" customHeight="false" outlineLevel="0" collapsed="false">
      <c r="A35" s="61" t="n">
        <v>36674</v>
      </c>
      <c r="D35" s="95"/>
      <c r="E35" s="95" t="n">
        <v>8342.75</v>
      </c>
      <c r="F35" s="95" t="n">
        <f aca="false">E35-D35</f>
        <v>8342.75</v>
      </c>
    </row>
    <row r="36" customFormat="false" ht="12.75" hidden="false" customHeight="false" outlineLevel="0" collapsed="false">
      <c r="A36" s="61" t="n">
        <v>36675</v>
      </c>
      <c r="D36" s="95"/>
      <c r="E36" s="95" t="n">
        <v>14129.25</v>
      </c>
      <c r="F36" s="95" t="n">
        <f aca="false">E36-D36</f>
        <v>14129.25</v>
      </c>
    </row>
    <row r="37" customFormat="false" ht="12.75" hidden="false" customHeight="false" outlineLevel="0" collapsed="false">
      <c r="A37" s="61" t="n">
        <v>36676</v>
      </c>
      <c r="B37" s="95" t="n">
        <v>1481768</v>
      </c>
      <c r="D37" s="95" t="n">
        <v>14133</v>
      </c>
      <c r="E37" s="95" t="n">
        <v>16593</v>
      </c>
      <c r="F37" s="95" t="n">
        <f aca="false">E37-D37</f>
        <v>2460</v>
      </c>
    </row>
    <row r="38" customFormat="false" ht="12.75" hidden="false" customHeight="false" outlineLevel="0" collapsed="false">
      <c r="A38" s="61" t="n">
        <v>36677</v>
      </c>
      <c r="B38" s="95" t="n">
        <v>1467850</v>
      </c>
      <c r="D38" s="95" t="n">
        <v>11799</v>
      </c>
      <c r="E38" s="95" t="n">
        <v>12864</v>
      </c>
      <c r="F38" s="95" t="n">
        <f aca="false">E38-D38</f>
        <v>1065</v>
      </c>
    </row>
    <row r="39" customFormat="false" ht="12.75" hidden="false" customHeight="false" outlineLevel="0" collapsed="false">
      <c r="A39" s="61" t="n">
        <v>36678</v>
      </c>
      <c r="B39" s="95" t="n">
        <v>1367252</v>
      </c>
      <c r="D39" s="95" t="n">
        <v>788</v>
      </c>
      <c r="E39" s="95" t="n">
        <v>-93.41</v>
      </c>
      <c r="F39" s="95" t="n">
        <f aca="false">E39-D39</f>
        <v>-881.41</v>
      </c>
    </row>
    <row r="40" customFormat="false" ht="12.75" hidden="false" customHeight="false" outlineLevel="0" collapsed="false">
      <c r="A40" s="61" t="n">
        <v>36679</v>
      </c>
      <c r="B40" s="95" t="n">
        <v>1342831</v>
      </c>
      <c r="D40" s="95" t="n">
        <v>7695</v>
      </c>
      <c r="E40" s="95" t="n">
        <v>4010.54</v>
      </c>
      <c r="F40" s="95" t="n">
        <f aca="false">E40-D40</f>
        <v>-3684.46</v>
      </c>
    </row>
    <row r="41" customFormat="false" ht="12.75" hidden="false" customHeight="false" outlineLevel="0" collapsed="false">
      <c r="A41" s="61" t="n">
        <v>36680</v>
      </c>
      <c r="E41" s="95" t="n">
        <v>7954</v>
      </c>
      <c r="F41" s="95" t="n">
        <f aca="false">E41-D41</f>
        <v>7954</v>
      </c>
    </row>
    <row r="42" customFormat="false" ht="12.75" hidden="false" customHeight="false" outlineLevel="0" collapsed="false">
      <c r="A42" s="61" t="n">
        <v>36681</v>
      </c>
      <c r="E42" s="95" t="n">
        <v>19614</v>
      </c>
      <c r="F42" s="95" t="n">
        <f aca="false">E42-D42</f>
        <v>19614</v>
      </c>
    </row>
    <row r="43" customFormat="false" ht="12.75" hidden="false" customHeight="false" outlineLevel="0" collapsed="false">
      <c r="A43" s="61" t="n">
        <v>36682</v>
      </c>
      <c r="B43" s="95" t="n">
        <v>1304600</v>
      </c>
      <c r="D43" s="95" t="n">
        <v>15510</v>
      </c>
      <c r="E43" s="95" t="n">
        <v>15572</v>
      </c>
      <c r="F43" s="95" t="n">
        <f aca="false">E43-D43</f>
        <v>62</v>
      </c>
    </row>
    <row r="44" customFormat="false" ht="12.75" hidden="false" customHeight="false" outlineLevel="0" collapsed="false">
      <c r="A44" s="61" t="n">
        <v>36683</v>
      </c>
      <c r="B44" s="95" t="n">
        <v>1304801</v>
      </c>
      <c r="D44" s="95" t="n">
        <v>-27516</v>
      </c>
      <c r="E44" s="95" t="n">
        <v>-25573</v>
      </c>
      <c r="F44" s="95" t="n">
        <f aca="false">E44-D44</f>
        <v>1943</v>
      </c>
    </row>
    <row r="45" customFormat="false" ht="12.75" hidden="false" customHeight="false" outlineLevel="0" collapsed="false">
      <c r="A45" s="61" t="n">
        <v>36684</v>
      </c>
      <c r="B45" s="95" t="n">
        <v>1287488</v>
      </c>
      <c r="D45" s="95" t="n">
        <v>2700</v>
      </c>
      <c r="E45" s="95" t="n">
        <v>2248</v>
      </c>
      <c r="F45" s="95" t="n">
        <f aca="false">E45-D45</f>
        <v>-452</v>
      </c>
    </row>
    <row r="46" customFormat="false" ht="12.75" hidden="false" customHeight="false" outlineLevel="0" collapsed="false">
      <c r="A46" s="61" t="n">
        <v>36685</v>
      </c>
      <c r="B46" s="95" t="n">
        <v>1286827</v>
      </c>
      <c r="D46" s="95" t="n">
        <v>-10222</v>
      </c>
      <c r="E46" s="95" t="n">
        <v>-5370</v>
      </c>
      <c r="F46" s="95" t="n">
        <f aca="false">E46-D46</f>
        <v>4852</v>
      </c>
    </row>
    <row r="47" customFormat="false" ht="12.75" hidden="false" customHeight="false" outlineLevel="0" collapsed="false">
      <c r="A47" s="61" t="n">
        <v>36686</v>
      </c>
      <c r="B47" s="95" t="n">
        <v>1274581</v>
      </c>
      <c r="D47" s="95" t="n">
        <v>-2580</v>
      </c>
      <c r="E47" s="95" t="n">
        <v>-499.55</v>
      </c>
      <c r="F47" s="95" t="n">
        <f aca="false">E47-D47</f>
        <v>2080.45</v>
      </c>
    </row>
    <row r="48" customFormat="false" ht="12.75" hidden="false" customHeight="false" outlineLevel="0" collapsed="false">
      <c r="A48" s="61" t="n">
        <v>36687</v>
      </c>
      <c r="E48" s="95" t="n">
        <v>-19359.3</v>
      </c>
      <c r="F48" s="95" t="n">
        <f aca="false">E48-D48</f>
        <v>-19359.3</v>
      </c>
    </row>
    <row r="49" customFormat="false" ht="12.75" hidden="false" customHeight="false" outlineLevel="0" collapsed="false">
      <c r="A49" s="61" t="n">
        <v>36688</v>
      </c>
      <c r="E49" s="95" t="n">
        <v>-4140.3</v>
      </c>
      <c r="F49" s="95" t="n">
        <f aca="false">E49-D49</f>
        <v>-4140.3</v>
      </c>
    </row>
    <row r="50" customFormat="false" ht="12.75" hidden="false" customHeight="false" outlineLevel="0" collapsed="false">
      <c r="A50" s="61" t="n">
        <v>36689</v>
      </c>
      <c r="B50" s="95" t="n">
        <v>1248625</v>
      </c>
      <c r="D50" s="95" t="n">
        <v>4041</v>
      </c>
      <c r="E50" s="95" t="n">
        <v>-4436</v>
      </c>
      <c r="F50" s="95" t="n">
        <f aca="false">E50-D50</f>
        <v>-8477</v>
      </c>
    </row>
    <row r="51" customFormat="false" ht="12.75" hidden="false" customHeight="false" outlineLevel="0" collapsed="false">
      <c r="A51" s="61" t="n">
        <v>36690</v>
      </c>
      <c r="B51" s="95" t="n">
        <v>1245473</v>
      </c>
      <c r="D51" s="95" t="n">
        <v>-76699.5</v>
      </c>
      <c r="E51" s="95" t="n">
        <v>-27912</v>
      </c>
      <c r="F51" s="95" t="n">
        <f aca="false">E51-D51</f>
        <v>48787.5</v>
      </c>
    </row>
    <row r="52" customFormat="false" ht="12.75" hidden="false" customHeight="false" outlineLevel="0" collapsed="false">
      <c r="A52" s="61" t="n">
        <v>36691</v>
      </c>
      <c r="B52" s="95" t="n">
        <v>1205177</v>
      </c>
      <c r="D52" s="95" t="n">
        <v>-156667</v>
      </c>
      <c r="E52" s="95" t="n">
        <v>-126618</v>
      </c>
      <c r="F52" s="95" t="n">
        <f aca="false">E52-D52</f>
        <v>30049</v>
      </c>
    </row>
    <row r="53" customFormat="false" ht="12.75" hidden="false" customHeight="false" outlineLevel="0" collapsed="false">
      <c r="A53" s="61" t="n">
        <v>36692</v>
      </c>
      <c r="B53" s="95" t="n">
        <v>1189921</v>
      </c>
      <c r="D53" s="95" t="n">
        <v>-14756</v>
      </c>
      <c r="E53" s="95" t="n">
        <v>-1594</v>
      </c>
      <c r="F53" s="95" t="n">
        <f aca="false">E53-D53</f>
        <v>13162</v>
      </c>
    </row>
    <row r="54" customFormat="false" ht="12.75" hidden="false" customHeight="false" outlineLevel="0" collapsed="false">
      <c r="A54" s="61" t="n">
        <v>36693</v>
      </c>
      <c r="B54" s="95" t="n">
        <v>1182147</v>
      </c>
      <c r="D54" s="95" t="n">
        <v>-8067</v>
      </c>
      <c r="E54" s="95" t="n">
        <v>-26816.26</v>
      </c>
      <c r="F54" s="95" t="n">
        <f aca="false">E54-D54</f>
        <v>-18749.26</v>
      </c>
    </row>
    <row r="55" customFormat="false" ht="12.75" hidden="false" customHeight="false" outlineLevel="0" collapsed="false">
      <c r="A55" s="61" t="n">
        <v>36694</v>
      </c>
      <c r="E55" s="95" t="n">
        <v>-11760</v>
      </c>
      <c r="F55" s="95" t="n">
        <f aca="false">E55-D55</f>
        <v>-11760</v>
      </c>
    </row>
    <row r="56" customFormat="false" ht="12.75" hidden="false" customHeight="false" outlineLevel="0" collapsed="false">
      <c r="A56" s="61" t="n">
        <v>36695</v>
      </c>
      <c r="E56" s="95" t="n">
        <v>-4042</v>
      </c>
      <c r="F56" s="95" t="n">
        <f aca="false">E56-D56</f>
        <v>-4042</v>
      </c>
    </row>
  </sheetData>
  <mergeCells count="1">
    <mergeCell ref="D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37" activeCellId="0" sqref="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13"/>
    <col collapsed="false" customWidth="true" hidden="false" outlineLevel="0" max="3" min="3" style="0" width="12.56"/>
    <col collapsed="false" customWidth="true" hidden="false" outlineLevel="0" max="4" min="4" style="0" width="15.28"/>
    <col collapsed="false" customWidth="true" hidden="false" outlineLevel="0" max="5" min="5" style="0" width="14.41"/>
    <col collapsed="false" customWidth="true" hidden="false" outlineLevel="0" max="8" min="7" style="0" width="13.7"/>
    <col collapsed="false" customWidth="true" hidden="false" outlineLevel="0" max="9" min="9" style="0" width="16.99"/>
    <col collapsed="false" customWidth="true" hidden="false" outlineLevel="0" max="10" min="10" style="0" width="7.56"/>
    <col collapsed="false" customWidth="true" hidden="false" outlineLevel="0" max="11" min="11" style="0" width="15.13"/>
    <col collapsed="false" customWidth="true" hidden="false" outlineLevel="0" max="12" min="12" style="0" width="14.28"/>
    <col collapsed="false" customWidth="true" hidden="false" outlineLevel="0" max="13" min="13" style="0" width="5.71"/>
    <col collapsed="false" customWidth="true" hidden="false" outlineLevel="0" max="14" min="14" style="0" width="12.56"/>
    <col collapsed="false" customWidth="true" hidden="false" outlineLevel="0" max="15" min="15" style="0" width="14.56"/>
    <col collapsed="false" customWidth="true" hidden="false" outlineLevel="0" max="16" min="16" style="0" width="13.56"/>
    <col collapsed="false" customWidth="true" hidden="false" outlineLevel="0" max="18" min="18" style="0" width="16.28"/>
    <col collapsed="false" customWidth="true" hidden="false" outlineLevel="0" max="19" min="19" style="0" width="13.85"/>
    <col collapsed="false" customWidth="true" hidden="false" outlineLevel="0" max="20" min="20" style="0" width="16.56"/>
    <col collapsed="false" customWidth="true" hidden="false" outlineLevel="0" max="23" min="21" style="0" width="16.99"/>
    <col collapsed="false" customWidth="true" hidden="false" outlineLevel="0" max="24" min="24" style="0" width="12.28"/>
    <col collapsed="false" customWidth="true" hidden="false" outlineLevel="0" max="25" min="25" style="0" width="10.99"/>
    <col collapsed="false" customWidth="true" hidden="false" outlineLevel="0" max="26" min="26" style="0" width="10.41"/>
    <col collapsed="false" customWidth="true" hidden="false" outlineLevel="0" max="27" min="27" style="0" width="11.13"/>
    <col collapsed="false" customWidth="true" hidden="false" outlineLevel="0" max="28" min="28" style="0" width="13.28"/>
    <col collapsed="false" customWidth="true" hidden="false" outlineLevel="0" max="32" min="32" style="0" width="10.85"/>
    <col collapsed="false" customWidth="true" hidden="false" outlineLevel="0" max="33" min="33" style="0" width="11.7"/>
    <col collapsed="false" customWidth="true" hidden="false" outlineLevel="0" max="34" min="34" style="0" width="12.14"/>
    <col collapsed="false" customWidth="true" hidden="false" outlineLevel="0" max="35" min="35" style="0" width="12.28"/>
    <col collapsed="false" customWidth="true" hidden="false" outlineLevel="0" max="36" min="36" style="0" width="11.7"/>
    <col collapsed="false" customWidth="true" hidden="false" outlineLevel="0" max="37" min="37" style="0" width="9.99"/>
    <col collapsed="false" customWidth="true" hidden="false" outlineLevel="0" max="38" min="38" style="0" width="12.28"/>
  </cols>
  <sheetData>
    <row r="1" customFormat="false" ht="15" hidden="false" customHeight="false" outlineLevel="0" collapsed="false">
      <c r="A1" s="142" t="s">
        <v>152</v>
      </c>
    </row>
    <row r="2" customFormat="false" ht="12.75" hidden="false" customHeight="false" outlineLevel="0" collapsed="false">
      <c r="A2" s="0" t="s">
        <v>153</v>
      </c>
      <c r="B2" s="2" t="n">
        <f aca="true">TODAY()</f>
        <v>45926</v>
      </c>
    </row>
    <row r="3" customFormat="false" ht="12.75" hidden="false" customHeight="false" outlineLevel="0" collapsed="false">
      <c r="D3" s="47" t="s">
        <v>154</v>
      </c>
      <c r="E3" s="47"/>
      <c r="G3" s="0" t="s">
        <v>155</v>
      </c>
      <c r="K3" s="0" t="s">
        <v>156</v>
      </c>
      <c r="N3" s="0" t="s">
        <v>157</v>
      </c>
      <c r="R3" s="0" t="s">
        <v>158</v>
      </c>
    </row>
    <row r="4" customFormat="false" ht="12.75" hidden="false" customHeight="false" outlineLevel="0" collapsed="false">
      <c r="D4" s="45"/>
      <c r="E4" s="45"/>
      <c r="U4" s="0" t="s">
        <v>159</v>
      </c>
    </row>
    <row r="5" customFormat="false" ht="12.75" hidden="false" customHeight="false" outlineLevel="0" collapsed="false">
      <c r="A5" s="0" t="s">
        <v>160</v>
      </c>
      <c r="D5" s="45" t="n">
        <f aca="false">SUM(D8:D36)</f>
        <v>384</v>
      </c>
      <c r="E5" s="45" t="n">
        <f aca="false">SUM(E8:E36)</f>
        <v>312</v>
      </c>
      <c r="K5" s="45" t="n">
        <f aca="false">SUM(K8:K36)</f>
        <v>0</v>
      </c>
      <c r="L5" s="45" t="n">
        <f aca="false">SUM(L8:L36)</f>
        <v>0</v>
      </c>
      <c r="N5" s="45" t="n">
        <f aca="false">SUM(N8:N38)</f>
        <v>0</v>
      </c>
      <c r="O5" s="45" t="n">
        <f aca="false">SUM(O8:O38)</f>
        <v>0</v>
      </c>
      <c r="P5" s="45" t="n">
        <f aca="false">SUM(P8:P38)</f>
        <v>0</v>
      </c>
      <c r="X5" s="0" t="s">
        <v>161</v>
      </c>
      <c r="AD5" s="0" t="s">
        <v>162</v>
      </c>
      <c r="AH5" s="0" t="s">
        <v>112</v>
      </c>
    </row>
    <row r="6" customFormat="false" ht="12.75" hidden="false" customHeight="false" outlineLevel="0" collapsed="false">
      <c r="A6" s="0" t="s">
        <v>68</v>
      </c>
      <c r="D6" s="45" t="n">
        <f aca="false">COUNTIF(D8:D36,"&gt;0")</f>
        <v>24</v>
      </c>
      <c r="E6" s="45" t="n">
        <f aca="false">COUNT(E8:E36)-D6</f>
        <v>5</v>
      </c>
      <c r="G6" s="47" t="n">
        <f aca="false">COUNTIF(G8:G36,"&gt;0")</f>
        <v>29</v>
      </c>
      <c r="H6" s="47"/>
      <c r="I6" s="45" t="s">
        <v>45</v>
      </c>
      <c r="K6" s="45" t="n">
        <f aca="false">COUNTIF(K8:K36,"&gt;0")</f>
        <v>0</v>
      </c>
      <c r="L6" s="45" t="n">
        <f aca="false">COUNTIF(L8:L36,"=24")</f>
        <v>0</v>
      </c>
      <c r="N6" s="45" t="n">
        <f aca="false">COUNTIF(N8:N38,"&gt;0")</f>
        <v>0</v>
      </c>
      <c r="O6" s="45" t="s">
        <v>45</v>
      </c>
      <c r="P6" s="45" t="n">
        <f aca="false">COUNTIF(P8:P38,"&gt;0")</f>
        <v>0</v>
      </c>
      <c r="X6" s="0" t="s">
        <v>163</v>
      </c>
      <c r="Y6" s="0" t="s">
        <v>164</v>
      </c>
      <c r="Z6" s="0" t="s">
        <v>165</v>
      </c>
    </row>
    <row r="7" customFormat="false" ht="25.5" hidden="false" customHeight="false" outlineLevel="0" collapsed="false">
      <c r="A7" s="0" t="s">
        <v>2</v>
      </c>
      <c r="B7" s="0" t="s">
        <v>166</v>
      </c>
      <c r="C7" s="0" t="s">
        <v>167</v>
      </c>
      <c r="D7" s="51" t="s">
        <v>168</v>
      </c>
      <c r="E7" s="51" t="s">
        <v>169</v>
      </c>
      <c r="G7" s="143" t="s">
        <v>170</v>
      </c>
      <c r="H7" s="143" t="s">
        <v>171</v>
      </c>
      <c r="I7" s="143" t="s">
        <v>172</v>
      </c>
      <c r="J7" s="51"/>
      <c r="K7" s="51" t="s">
        <v>168</v>
      </c>
      <c r="L7" s="51" t="s">
        <v>169</v>
      </c>
      <c r="N7" s="51" t="s">
        <v>173</v>
      </c>
      <c r="O7" s="51" t="s">
        <v>174</v>
      </c>
      <c r="P7" s="51" t="s">
        <v>175</v>
      </c>
      <c r="R7" s="143" t="s">
        <v>170</v>
      </c>
      <c r="S7" s="143" t="s">
        <v>171</v>
      </c>
      <c r="T7" s="143" t="s">
        <v>172</v>
      </c>
      <c r="U7" s="0" t="s">
        <v>176</v>
      </c>
      <c r="V7" s="0" t="s">
        <v>177</v>
      </c>
      <c r="X7" s="0" t="s">
        <v>176</v>
      </c>
      <c r="Y7" s="0" t="s">
        <v>178</v>
      </c>
      <c r="Z7" s="0" t="s">
        <v>179</v>
      </c>
      <c r="AA7" s="0" t="s">
        <v>176</v>
      </c>
      <c r="AB7" s="0" t="s">
        <v>177</v>
      </c>
      <c r="AD7" s="0" t="s">
        <v>109</v>
      </c>
      <c r="AE7" s="0" t="s">
        <v>108</v>
      </c>
      <c r="AF7" s="0" t="s">
        <v>134</v>
      </c>
      <c r="AH7" s="0" t="s">
        <v>176</v>
      </c>
      <c r="AI7" s="0" t="s">
        <v>178</v>
      </c>
      <c r="AJ7" s="0" t="s">
        <v>179</v>
      </c>
      <c r="AK7" s="0" t="s">
        <v>176</v>
      </c>
      <c r="AL7" s="0" t="s">
        <v>177</v>
      </c>
    </row>
    <row r="8" customFormat="false" ht="12.75" hidden="false" customHeight="false" outlineLevel="0" collapsed="false">
      <c r="A8" s="61" t="n">
        <v>36678</v>
      </c>
      <c r="B8" s="144" t="n">
        <f aca="false">WEEKDAY(A8)</f>
        <v>5</v>
      </c>
      <c r="C8" s="0" t="s">
        <v>180</v>
      </c>
      <c r="D8" s="0" t="n">
        <f aca="false">IF(C8="Y",0,IF(B8=1,0,16))</f>
        <v>16</v>
      </c>
      <c r="E8" s="0" t="n">
        <f aca="false">24-D8</f>
        <v>8</v>
      </c>
      <c r="G8" s="45" t="n">
        <f aca="false">13</f>
        <v>13</v>
      </c>
      <c r="H8" s="45" t="n">
        <v>3</v>
      </c>
      <c r="I8" s="45" t="n">
        <v>8</v>
      </c>
      <c r="K8" s="0" t="n">
        <f aca="false">IF($A8&gt;external_curves!$B$2,ROM_hrs!D8,0)</f>
        <v>0</v>
      </c>
      <c r="L8" s="0" t="n">
        <f aca="false">IF($A8&gt;external_curves!$B$2,ROM_hrs!E8,0)</f>
        <v>0</v>
      </c>
      <c r="N8" s="0" t="n">
        <f aca="false">IF($A8&gt;external_curves!$B$2,ROM_hrs!G8,0)</f>
        <v>0</v>
      </c>
      <c r="O8" s="0" t="n">
        <f aca="false">IF($A8&gt;external_curves!$B$2,ROM_hrs!I8,0)</f>
        <v>0</v>
      </c>
      <c r="P8" s="0" t="n">
        <f aca="false">IF($A8&gt;external_curves!$B$2,#REF!,0)</f>
        <v>0</v>
      </c>
      <c r="R8" s="0" t="n">
        <f aca="false">IF(N8=0,0,(N8-3)*Trades!$G$10)</f>
        <v>0</v>
      </c>
      <c r="S8" s="0" t="n">
        <f aca="false">Trades!$Q$10*(SUM(N8:P8))</f>
        <v>0</v>
      </c>
      <c r="T8" s="0" t="n">
        <f aca="false">Trades!$AC$10*(SUM(N8:P8))</f>
        <v>-0</v>
      </c>
      <c r="U8" s="0" t="n">
        <f aca="false">(S8+T8)+R8</f>
        <v>0</v>
      </c>
      <c r="V8" s="0" t="n">
        <f aca="false">IF(OR(ROM_hrs!B8=1,ROM_hrs!B8=7),Trades!$U$10*(P8),IF(O8+P8=0,0,(Trades!$U$10*(ROM_hrs!O8+3))))</f>
        <v>0</v>
      </c>
      <c r="X8" s="54" t="n">
        <f aca="false">Trades!$H$10</f>
        <v>36.63</v>
      </c>
      <c r="Y8" s="54" t="n">
        <f aca="false">Trades!$R$10</f>
        <v>34.5</v>
      </c>
      <c r="Z8" s="54" t="n">
        <f aca="false">AVERAGE(Trades!$AD$10)</f>
        <v>44.5</v>
      </c>
      <c r="AA8" s="54" t="n">
        <f aca="false">Trades!$V$10</f>
        <v>47</v>
      </c>
      <c r="AB8" s="54" t="n">
        <f aca="false">Trades!$V$10</f>
        <v>47</v>
      </c>
      <c r="AD8" s="139" t="n">
        <f aca="false">Trades!$Q$47</f>
        <v>54.85</v>
      </c>
      <c r="AE8" s="139" t="n">
        <f aca="false">Trades!$P$47</f>
        <v>48.9664377883506</v>
      </c>
      <c r="AF8" s="139" t="n">
        <f aca="false">Trades!$S$47</f>
        <v>42</v>
      </c>
      <c r="AH8" s="139" t="n">
        <f aca="false">R8*(AD8-X8)</f>
        <v>0</v>
      </c>
      <c r="AI8" s="139" t="n">
        <f aca="false">(S8*(AE8-Y8))</f>
        <v>0</v>
      </c>
      <c r="AJ8" s="139" t="n">
        <f aca="false">(T8*(AE8-Z8))</f>
        <v>-0</v>
      </c>
      <c r="AK8" s="139" t="n">
        <f aca="false">U8*(AD8-AA8)</f>
        <v>0</v>
      </c>
      <c r="AL8" s="139" t="n">
        <f aca="false">V8*(AF8-AB8)</f>
        <v>-0</v>
      </c>
    </row>
    <row r="9" customFormat="false" ht="12.75" hidden="false" customHeight="false" outlineLevel="0" collapsed="false">
      <c r="A9" s="61" t="n">
        <v>36679</v>
      </c>
      <c r="B9" s="144" t="n">
        <f aca="false">WEEKDAY(A9)</f>
        <v>6</v>
      </c>
      <c r="C9" s="0" t="s">
        <v>180</v>
      </c>
      <c r="D9" s="0" t="n">
        <f aca="false">IF(C9="Y",0,IF(B9=1,0,16))</f>
        <v>16</v>
      </c>
      <c r="E9" s="0" t="n">
        <f aca="false">24-D9</f>
        <v>8</v>
      </c>
      <c r="G9" s="45" t="n">
        <f aca="false">13</f>
        <v>13</v>
      </c>
      <c r="H9" s="45" t="n">
        <v>3</v>
      </c>
      <c r="I9" s="45" t="n">
        <v>8</v>
      </c>
      <c r="K9" s="0" t="n">
        <f aca="false">IF($A9&gt;external_curves!$B$2,ROM_hrs!D9,0)</f>
        <v>0</v>
      </c>
      <c r="L9" s="0" t="n">
        <f aca="false">IF($A9&gt;external_curves!$B$2,ROM_hrs!E9,0)</f>
        <v>0</v>
      </c>
      <c r="N9" s="0" t="n">
        <f aca="false">IF($A9&gt;external_curves!$B$2,ROM_hrs!G9,0)</f>
        <v>0</v>
      </c>
      <c r="O9" s="0" t="n">
        <f aca="false">IF($A9&gt;external_curves!$B$2,ROM_hrs!I9,0)</f>
        <v>0</v>
      </c>
      <c r="P9" s="0" t="n">
        <f aca="false">IF($A9&gt;external_curves!$B$2,#REF!,0)</f>
        <v>0</v>
      </c>
      <c r="R9" s="0" t="n">
        <f aca="false">IF(N9=0,0,(N9-3)*Trades!$G$10)</f>
        <v>0</v>
      </c>
      <c r="S9" s="0" t="n">
        <f aca="false">Trades!$Q$10*(SUM(N9:P9))</f>
        <v>0</v>
      </c>
      <c r="T9" s="0" t="n">
        <f aca="false">Trades!$AC$10*(SUM(N9:P9))</f>
        <v>-0</v>
      </c>
      <c r="U9" s="0" t="n">
        <f aca="false">(S9+T9)+R9</f>
        <v>0</v>
      </c>
      <c r="V9" s="0" t="n">
        <f aca="false">IF(OR(ROM_hrs!B9=1,ROM_hrs!B9=7),Trades!$U$10*(P9),IF(O9+P9=0,0,(Trades!$U$10*(ROM_hrs!O9+3))))</f>
        <v>0</v>
      </c>
      <c r="X9" s="54" t="n">
        <f aca="false">Trades!$H$10</f>
        <v>36.63</v>
      </c>
      <c r="Y9" s="54" t="n">
        <f aca="false">Trades!$R$10</f>
        <v>34.5</v>
      </c>
      <c r="Z9" s="54" t="n">
        <f aca="false">AVERAGE(Trades!$AD$10)</f>
        <v>44.5</v>
      </c>
      <c r="AA9" s="54" t="n">
        <f aca="false">Trades!$V$10</f>
        <v>47</v>
      </c>
      <c r="AB9" s="54" t="n">
        <f aca="false">Trades!$V$10</f>
        <v>47</v>
      </c>
      <c r="AD9" s="139" t="n">
        <f aca="false">Trades!$Q$47</f>
        <v>54.85</v>
      </c>
      <c r="AE9" s="139" t="n">
        <f aca="false">Trades!$P$47</f>
        <v>48.9664377883506</v>
      </c>
      <c r="AF9" s="139" t="n">
        <f aca="false">Trades!$S$47</f>
        <v>42</v>
      </c>
      <c r="AH9" s="139" t="n">
        <f aca="false">R9*(AD9-X9)</f>
        <v>0</v>
      </c>
      <c r="AI9" s="139" t="n">
        <f aca="false">(S9*(AE9-Y9))</f>
        <v>0</v>
      </c>
      <c r="AJ9" s="139" t="n">
        <f aca="false">(T9*(AE9-Z9))</f>
        <v>-0</v>
      </c>
      <c r="AK9" s="139" t="n">
        <f aca="false">U9*(AD9-AA9)</f>
        <v>0</v>
      </c>
      <c r="AL9" s="139" t="n">
        <f aca="false">V9*(AF9-AB9)</f>
        <v>-0</v>
      </c>
    </row>
    <row r="10" customFormat="false" ht="12.75" hidden="false" customHeight="false" outlineLevel="0" collapsed="false">
      <c r="A10" s="61" t="n">
        <v>36680</v>
      </c>
      <c r="B10" s="144" t="n">
        <f aca="false">WEEKDAY(A10)</f>
        <v>7</v>
      </c>
      <c r="C10" s="0" t="s">
        <v>180</v>
      </c>
      <c r="D10" s="0" t="n">
        <f aca="false">IF(C10="Y",0,IF(B10=1,0,16))</f>
        <v>16</v>
      </c>
      <c r="E10" s="0" t="n">
        <f aca="false">24-D10</f>
        <v>8</v>
      </c>
      <c r="G10" s="45" t="n">
        <f aca="false">13</f>
        <v>13</v>
      </c>
      <c r="H10" s="45" t="n">
        <v>3</v>
      </c>
      <c r="I10" s="45" t="n">
        <v>8</v>
      </c>
      <c r="K10" s="0" t="n">
        <f aca="false">IF($A10&gt;external_curves!$B$2,ROM_hrs!D10,0)</f>
        <v>0</v>
      </c>
      <c r="L10" s="0" t="n">
        <f aca="false">IF($A10&gt;external_curves!$B$2,ROM_hrs!E10,0)</f>
        <v>0</v>
      </c>
      <c r="N10" s="0" t="n">
        <f aca="false">IF($A10&gt;external_curves!$B$2,ROM_hrs!G10,0)</f>
        <v>0</v>
      </c>
      <c r="O10" s="0" t="n">
        <f aca="false">IF($A10&gt;external_curves!$B$2,ROM_hrs!I10,0)</f>
        <v>0</v>
      </c>
      <c r="P10" s="0" t="n">
        <f aca="false">IF($A10&gt;external_curves!$B$2,#REF!,0)</f>
        <v>0</v>
      </c>
      <c r="R10" s="0" t="n">
        <f aca="false">IF(N10=0,0,(N10-3)*Trades!$G$10)</f>
        <v>0</v>
      </c>
      <c r="S10" s="0" t="n">
        <f aca="false">Trades!$Q$10*(SUM(N10:P10))</f>
        <v>0</v>
      </c>
      <c r="T10" s="0" t="n">
        <f aca="false">Trades!$AC$10*(SUM(N10:P10))</f>
        <v>-0</v>
      </c>
      <c r="U10" s="0" t="n">
        <f aca="false">(S10+T10)+R10</f>
        <v>0</v>
      </c>
      <c r="V10" s="0" t="n">
        <f aca="false">IF(OR(ROM_hrs!B10=1,ROM_hrs!B10=7),Trades!$U$10*(P10),IF(O10+P10=0,0,(Trades!$U$10*(ROM_hrs!O10+3))))</f>
        <v>-0</v>
      </c>
      <c r="X10" s="54" t="n">
        <f aca="false">Trades!$H$10</f>
        <v>36.63</v>
      </c>
      <c r="Y10" s="54" t="n">
        <f aca="false">Trades!$R$10</f>
        <v>34.5</v>
      </c>
      <c r="Z10" s="54" t="n">
        <f aca="false">AVERAGE(Trades!$AD$10)</f>
        <v>44.5</v>
      </c>
      <c r="AA10" s="54" t="n">
        <f aca="false">Trades!$V$10</f>
        <v>47</v>
      </c>
      <c r="AB10" s="54" t="n">
        <f aca="false">Trades!$V$10</f>
        <v>47</v>
      </c>
      <c r="AD10" s="139" t="n">
        <f aca="false">Trades!$Q$47</f>
        <v>54.85</v>
      </c>
      <c r="AE10" s="139" t="n">
        <f aca="false">Trades!$P$47</f>
        <v>48.9664377883506</v>
      </c>
      <c r="AF10" s="139" t="n">
        <f aca="false">Trades!$S$47</f>
        <v>42</v>
      </c>
      <c r="AH10" s="139" t="n">
        <f aca="false">R10*(AD10-X10)</f>
        <v>0</v>
      </c>
      <c r="AI10" s="139" t="n">
        <f aca="false">(S10*(AE10-Y10))</f>
        <v>0</v>
      </c>
      <c r="AJ10" s="139" t="n">
        <f aca="false">(T10*(AE10-Z10))</f>
        <v>-0</v>
      </c>
      <c r="AK10" s="139" t="n">
        <f aca="false">U10*(AD10-AA10)</f>
        <v>0</v>
      </c>
      <c r="AL10" s="139" t="n">
        <f aca="false">V10*(AF10-AB10)</f>
        <v>0</v>
      </c>
    </row>
    <row r="11" customFormat="false" ht="12.75" hidden="false" customHeight="false" outlineLevel="0" collapsed="false">
      <c r="A11" s="61" t="n">
        <v>36681</v>
      </c>
      <c r="B11" s="144" t="n">
        <f aca="false">WEEKDAY(A11)</f>
        <v>1</v>
      </c>
      <c r="C11" s="0" t="s">
        <v>180</v>
      </c>
      <c r="D11" s="0" t="n">
        <f aca="false">IF(C11="Y",0,IF(B11=1,0,16))</f>
        <v>0</v>
      </c>
      <c r="E11" s="0" t="n">
        <f aca="false">24-D11</f>
        <v>24</v>
      </c>
      <c r="G11" s="45" t="n">
        <f aca="false">13</f>
        <v>13</v>
      </c>
      <c r="H11" s="45" t="n">
        <v>3</v>
      </c>
      <c r="I11" s="45" t="n">
        <v>8</v>
      </c>
      <c r="K11" s="0" t="n">
        <f aca="false">IF($A11&gt;external_curves!$B$2,ROM_hrs!D11,0)</f>
        <v>0</v>
      </c>
      <c r="L11" s="0" t="n">
        <f aca="false">IF($A11&gt;external_curves!$B$2,ROM_hrs!E11,0)</f>
        <v>0</v>
      </c>
      <c r="N11" s="0" t="n">
        <f aca="false">IF($A11&gt;external_curves!$B$2,ROM_hrs!G11,0)</f>
        <v>0</v>
      </c>
      <c r="O11" s="0" t="n">
        <f aca="false">IF($A11&gt;external_curves!$B$2,ROM_hrs!I11,0)</f>
        <v>0</v>
      </c>
      <c r="P11" s="0" t="n">
        <f aca="false">IF($A11&gt;external_curves!$B$2,#REF!,0)</f>
        <v>0</v>
      </c>
      <c r="R11" s="0" t="n">
        <f aca="false">IF(N11=0,0,(N11-3)*Trades!$G$10)</f>
        <v>0</v>
      </c>
      <c r="S11" s="0" t="n">
        <f aca="false">Trades!$Q$10*(SUM(N11:P11))</f>
        <v>0</v>
      </c>
      <c r="T11" s="0" t="n">
        <f aca="false">Trades!$AC$10*(SUM(N11:P11))</f>
        <v>-0</v>
      </c>
      <c r="U11" s="0" t="n">
        <f aca="false">(S11+T11)+R11</f>
        <v>0</v>
      </c>
      <c r="V11" s="0" t="n">
        <f aca="false">IF(OR(ROM_hrs!B11=1,ROM_hrs!B11=7),Trades!$U$10*(P11),IF(O11+P11=0,0,(Trades!$U$10*(ROM_hrs!O11+3))))</f>
        <v>-0</v>
      </c>
      <c r="X11" s="54" t="n">
        <f aca="false">Trades!$H$10</f>
        <v>36.63</v>
      </c>
      <c r="Y11" s="54" t="n">
        <f aca="false">Trades!$R$10</f>
        <v>34.5</v>
      </c>
      <c r="Z11" s="54" t="n">
        <f aca="false">AVERAGE(Trades!$AD$10)</f>
        <v>44.5</v>
      </c>
      <c r="AA11" s="54" t="n">
        <f aca="false">Trades!$V$10</f>
        <v>47</v>
      </c>
      <c r="AB11" s="54" t="n">
        <f aca="false">Trades!$V$10</f>
        <v>47</v>
      </c>
      <c r="AD11" s="139" t="n">
        <f aca="false">Trades!$Q$47</f>
        <v>54.85</v>
      </c>
      <c r="AE11" s="139" t="n">
        <f aca="false">Trades!$P$47</f>
        <v>48.9664377883506</v>
      </c>
      <c r="AF11" s="139" t="n">
        <f aca="false">Trades!$S$47</f>
        <v>42</v>
      </c>
      <c r="AH11" s="139" t="n">
        <f aca="false">R11*(AD11-X11)</f>
        <v>0</v>
      </c>
      <c r="AI11" s="139" t="n">
        <f aca="false">(S11*(AE11-Y11))</f>
        <v>0</v>
      </c>
      <c r="AJ11" s="139" t="n">
        <f aca="false">(T11*(AE11-Z11))</f>
        <v>-0</v>
      </c>
      <c r="AK11" s="139" t="n">
        <f aca="false">U11*(AD11-AA11)</f>
        <v>0</v>
      </c>
      <c r="AL11" s="139" t="n">
        <f aca="false">V11*(AF11-AB11)</f>
        <v>0</v>
      </c>
    </row>
    <row r="12" customFormat="false" ht="12.75" hidden="false" customHeight="false" outlineLevel="0" collapsed="false">
      <c r="A12" s="61" t="n">
        <v>36682</v>
      </c>
      <c r="B12" s="144" t="n">
        <f aca="false">WEEKDAY(A12)</f>
        <v>2</v>
      </c>
      <c r="C12" s="0" t="s">
        <v>180</v>
      </c>
      <c r="D12" s="0" t="n">
        <f aca="false">IF(C12="Y",0,IF(B12=1,0,16))</f>
        <v>16</v>
      </c>
      <c r="E12" s="0" t="n">
        <f aca="false">24-D12</f>
        <v>8</v>
      </c>
      <c r="G12" s="45" t="n">
        <f aca="false">13</f>
        <v>13</v>
      </c>
      <c r="H12" s="45" t="n">
        <v>3</v>
      </c>
      <c r="I12" s="45" t="n">
        <v>8</v>
      </c>
      <c r="K12" s="0" t="n">
        <f aca="false">IF($A12&gt;external_curves!$B$2,ROM_hrs!D12,0)</f>
        <v>0</v>
      </c>
      <c r="L12" s="0" t="n">
        <f aca="false">IF($A12&gt;external_curves!$B$2,ROM_hrs!E12,0)</f>
        <v>0</v>
      </c>
      <c r="N12" s="0" t="n">
        <f aca="false">IF($A12&gt;external_curves!$B$2,ROM_hrs!G12,0)</f>
        <v>0</v>
      </c>
      <c r="O12" s="0" t="n">
        <f aca="false">IF($A12&gt;external_curves!$B$2,ROM_hrs!I12,0)</f>
        <v>0</v>
      </c>
      <c r="P12" s="0" t="n">
        <f aca="false">IF($A12&gt;external_curves!$B$2,#REF!,0)</f>
        <v>0</v>
      </c>
      <c r="R12" s="0" t="n">
        <f aca="false">IF(N12=0,0,(N12-3)*Trades!$G$10)</f>
        <v>0</v>
      </c>
      <c r="S12" s="0" t="n">
        <f aca="false">Trades!$Q$10*(SUM(N12:P12))</f>
        <v>0</v>
      </c>
      <c r="T12" s="0" t="n">
        <f aca="false">Trades!$AC$10*(SUM(N12:P12))</f>
        <v>-0</v>
      </c>
      <c r="U12" s="0" t="n">
        <f aca="false">(S12+T12)+R12</f>
        <v>0</v>
      </c>
      <c r="V12" s="0" t="n">
        <f aca="false">IF(OR(ROM_hrs!B12=1,ROM_hrs!B12=7),Trades!$U$10*(P12),IF(O12+P12=0,0,(Trades!$U$10*(ROM_hrs!O12+3))))</f>
        <v>0</v>
      </c>
      <c r="X12" s="54" t="n">
        <f aca="false">Trades!$H$10</f>
        <v>36.63</v>
      </c>
      <c r="Y12" s="54" t="n">
        <f aca="false">Trades!$R$10</f>
        <v>34.5</v>
      </c>
      <c r="Z12" s="54" t="n">
        <f aca="false">AVERAGE(Trades!$AD$10)</f>
        <v>44.5</v>
      </c>
      <c r="AA12" s="54" t="n">
        <f aca="false">Trades!$V$10</f>
        <v>47</v>
      </c>
      <c r="AB12" s="54" t="n">
        <f aca="false">Trades!$V$10</f>
        <v>47</v>
      </c>
      <c r="AD12" s="139" t="n">
        <f aca="false">Trades!$Q$47</f>
        <v>54.85</v>
      </c>
      <c r="AE12" s="139" t="n">
        <f aca="false">Trades!$P$47</f>
        <v>48.9664377883506</v>
      </c>
      <c r="AF12" s="139" t="n">
        <f aca="false">Trades!$S$47</f>
        <v>42</v>
      </c>
      <c r="AH12" s="139" t="n">
        <f aca="false">R12*(AD12-X12)</f>
        <v>0</v>
      </c>
      <c r="AI12" s="139" t="n">
        <f aca="false">(S12*(AE12-Y12))</f>
        <v>0</v>
      </c>
      <c r="AJ12" s="139" t="n">
        <f aca="false">(T12*(AE12-Z12))</f>
        <v>-0</v>
      </c>
      <c r="AK12" s="139" t="n">
        <f aca="false">U12*(AD12-AA12)</f>
        <v>0</v>
      </c>
      <c r="AL12" s="139" t="n">
        <f aca="false">V12*(AF12-AB12)</f>
        <v>-0</v>
      </c>
    </row>
    <row r="13" customFormat="false" ht="12.75" hidden="false" customHeight="false" outlineLevel="0" collapsed="false">
      <c r="A13" s="61" t="n">
        <v>36683</v>
      </c>
      <c r="B13" s="144" t="n">
        <f aca="false">WEEKDAY(A13)</f>
        <v>3</v>
      </c>
      <c r="C13" s="0" t="s">
        <v>180</v>
      </c>
      <c r="D13" s="0" t="n">
        <f aca="false">IF(C13="Y",0,IF(B13=1,0,16))</f>
        <v>16</v>
      </c>
      <c r="E13" s="0" t="n">
        <f aca="false">24-D13</f>
        <v>8</v>
      </c>
      <c r="G13" s="45" t="n">
        <f aca="false">13</f>
        <v>13</v>
      </c>
      <c r="H13" s="45" t="n">
        <v>3</v>
      </c>
      <c r="I13" s="45" t="n">
        <v>8</v>
      </c>
      <c r="K13" s="0" t="n">
        <f aca="false">IF($A13&gt;external_curves!$B$2,ROM_hrs!D13,0)</f>
        <v>0</v>
      </c>
      <c r="L13" s="0" t="n">
        <f aca="false">IF($A13&gt;external_curves!$B$2,ROM_hrs!E13,0)</f>
        <v>0</v>
      </c>
      <c r="N13" s="0" t="n">
        <f aca="false">IF($A13&gt;external_curves!$B$2,ROM_hrs!G13,0)</f>
        <v>0</v>
      </c>
      <c r="O13" s="0" t="n">
        <f aca="false">IF($A13&gt;external_curves!$B$2,ROM_hrs!I13,0)</f>
        <v>0</v>
      </c>
      <c r="P13" s="0" t="n">
        <f aca="false">IF($A13&gt;external_curves!$B$2,#REF!,0)</f>
        <v>0</v>
      </c>
      <c r="R13" s="0" t="n">
        <f aca="false">IF(N13=0,0,(N13-3)*Trades!$G$10)</f>
        <v>0</v>
      </c>
      <c r="S13" s="0" t="n">
        <f aca="false">Trades!$Q$10*(SUM(N13:P13))</f>
        <v>0</v>
      </c>
      <c r="T13" s="0" t="n">
        <f aca="false">Trades!$AC$10*(SUM(N13:P13))</f>
        <v>-0</v>
      </c>
      <c r="U13" s="0" t="n">
        <f aca="false">(S13+T13)+R13</f>
        <v>0</v>
      </c>
      <c r="V13" s="0" t="n">
        <f aca="false">IF(OR(ROM_hrs!B13=1,ROM_hrs!B13=7),Trades!$U$10*(P13),IF(O13+P13=0,0,(Trades!$U$10*(ROM_hrs!O13+3))))</f>
        <v>0</v>
      </c>
      <c r="X13" s="54" t="n">
        <f aca="false">Trades!$H$10</f>
        <v>36.63</v>
      </c>
      <c r="Y13" s="54" t="n">
        <f aca="false">Trades!$R$10</f>
        <v>34.5</v>
      </c>
      <c r="Z13" s="54" t="n">
        <f aca="false">AVERAGE(Trades!$AD$10)</f>
        <v>44.5</v>
      </c>
      <c r="AA13" s="54" t="n">
        <f aca="false">Trades!$V$10</f>
        <v>47</v>
      </c>
      <c r="AB13" s="54" t="n">
        <f aca="false">Trades!$V$10</f>
        <v>47</v>
      </c>
      <c r="AD13" s="139" t="n">
        <f aca="false">Trades!$Q$47</f>
        <v>54.85</v>
      </c>
      <c r="AE13" s="139" t="n">
        <f aca="false">Trades!$P$47</f>
        <v>48.9664377883506</v>
      </c>
      <c r="AF13" s="139" t="n">
        <f aca="false">Trades!$S$47</f>
        <v>42</v>
      </c>
      <c r="AH13" s="139" t="n">
        <f aca="false">R13*(AD13-X13)</f>
        <v>0</v>
      </c>
      <c r="AI13" s="139" t="n">
        <f aca="false">(S13*(AE13-Y13))</f>
        <v>0</v>
      </c>
      <c r="AJ13" s="139" t="n">
        <f aca="false">(T13*(AE13-Z13))</f>
        <v>-0</v>
      </c>
      <c r="AK13" s="139" t="n">
        <f aca="false">U13*(AD13-AA13)</f>
        <v>0</v>
      </c>
      <c r="AL13" s="139" t="n">
        <f aca="false">V13*(AF13-AB13)</f>
        <v>-0</v>
      </c>
    </row>
    <row r="14" customFormat="false" ht="12.75" hidden="false" customHeight="false" outlineLevel="0" collapsed="false">
      <c r="A14" s="61" t="n">
        <v>36684</v>
      </c>
      <c r="B14" s="144" t="n">
        <f aca="false">WEEKDAY(A14)</f>
        <v>4</v>
      </c>
      <c r="C14" s="0" t="s">
        <v>180</v>
      </c>
      <c r="D14" s="0" t="n">
        <f aca="false">IF(C14="Y",0,IF(B14=1,0,16))</f>
        <v>16</v>
      </c>
      <c r="E14" s="0" t="n">
        <f aca="false">24-D14</f>
        <v>8</v>
      </c>
      <c r="G14" s="45" t="n">
        <f aca="false">13</f>
        <v>13</v>
      </c>
      <c r="H14" s="45" t="n">
        <v>3</v>
      </c>
      <c r="I14" s="45" t="n">
        <v>8</v>
      </c>
      <c r="K14" s="0" t="n">
        <f aca="false">IF($A14&gt;external_curves!$B$2,ROM_hrs!D14,0)</f>
        <v>0</v>
      </c>
      <c r="L14" s="0" t="n">
        <f aca="false">IF($A14&gt;external_curves!$B$2,ROM_hrs!E14,0)</f>
        <v>0</v>
      </c>
      <c r="N14" s="0" t="n">
        <f aca="false">IF($A14&gt;external_curves!$B$2,ROM_hrs!G14,0)</f>
        <v>0</v>
      </c>
      <c r="O14" s="0" t="n">
        <f aca="false">IF($A14&gt;external_curves!$B$2,ROM_hrs!I14,0)</f>
        <v>0</v>
      </c>
      <c r="P14" s="0" t="n">
        <f aca="false">IF($A14&gt;external_curves!$B$2,#REF!,0)</f>
        <v>0</v>
      </c>
      <c r="R14" s="0" t="n">
        <f aca="false">IF(N14=0,0,(N14-3)*Trades!$G$10)</f>
        <v>0</v>
      </c>
      <c r="S14" s="0" t="n">
        <f aca="false">Trades!$Q$10*(SUM(N14:P14))</f>
        <v>0</v>
      </c>
      <c r="T14" s="0" t="n">
        <f aca="false">Trades!$AC$10*(SUM(N14:P14))</f>
        <v>-0</v>
      </c>
      <c r="U14" s="0" t="n">
        <f aca="false">(S14+T14)+R14</f>
        <v>0</v>
      </c>
      <c r="V14" s="0" t="n">
        <f aca="false">IF(OR(ROM_hrs!B14=1,ROM_hrs!B14=7),Trades!$U$10*(P14),IF(O14+P14=0,0,(Trades!$U$10*(ROM_hrs!O14+3))))</f>
        <v>0</v>
      </c>
      <c r="X14" s="54" t="n">
        <f aca="false">Trades!$H$10</f>
        <v>36.63</v>
      </c>
      <c r="Y14" s="54" t="n">
        <f aca="false">Trades!$R$10</f>
        <v>34.5</v>
      </c>
      <c r="Z14" s="54" t="n">
        <f aca="false">AVERAGE(Trades!$AD$10)</f>
        <v>44.5</v>
      </c>
      <c r="AA14" s="54" t="n">
        <f aca="false">Trades!$V$10</f>
        <v>47</v>
      </c>
      <c r="AB14" s="54" t="n">
        <f aca="false">Trades!$V$10</f>
        <v>47</v>
      </c>
      <c r="AD14" s="139" t="n">
        <f aca="false">Trades!$Q$47</f>
        <v>54.85</v>
      </c>
      <c r="AE14" s="139" t="n">
        <f aca="false">Trades!$P$47</f>
        <v>48.9664377883506</v>
      </c>
      <c r="AF14" s="139" t="n">
        <f aca="false">Trades!$S$47</f>
        <v>42</v>
      </c>
      <c r="AH14" s="139" t="n">
        <f aca="false">R14*(AD14-X14)</f>
        <v>0</v>
      </c>
      <c r="AI14" s="139" t="n">
        <f aca="false">(S14*(AE14-Y14))</f>
        <v>0</v>
      </c>
      <c r="AJ14" s="139" t="n">
        <f aca="false">(T14*(AE14-Z14))</f>
        <v>-0</v>
      </c>
      <c r="AK14" s="139" t="n">
        <f aca="false">U14*(AD14-AA14)</f>
        <v>0</v>
      </c>
      <c r="AL14" s="139" t="n">
        <f aca="false">V14*(AF14-AB14)</f>
        <v>-0</v>
      </c>
    </row>
    <row r="15" customFormat="false" ht="12.75" hidden="false" customHeight="false" outlineLevel="0" collapsed="false">
      <c r="A15" s="61" t="n">
        <v>36685</v>
      </c>
      <c r="B15" s="144" t="n">
        <f aca="false">WEEKDAY(A15)</f>
        <v>5</v>
      </c>
      <c r="C15" s="0" t="s">
        <v>180</v>
      </c>
      <c r="D15" s="0" t="n">
        <f aca="false">IF(C15="Y",0,IF(B15=1,0,16))</f>
        <v>16</v>
      </c>
      <c r="E15" s="0" t="n">
        <f aca="false">24-D15</f>
        <v>8</v>
      </c>
      <c r="G15" s="45" t="n">
        <f aca="false">13</f>
        <v>13</v>
      </c>
      <c r="H15" s="45" t="n">
        <v>3</v>
      </c>
      <c r="I15" s="45" t="n">
        <v>8</v>
      </c>
      <c r="K15" s="0" t="n">
        <f aca="false">IF($A15&gt;external_curves!$B$2,ROM_hrs!D15,0)</f>
        <v>0</v>
      </c>
      <c r="L15" s="0" t="n">
        <f aca="false">IF($A15&gt;external_curves!$B$2,ROM_hrs!E15,0)</f>
        <v>0</v>
      </c>
      <c r="N15" s="0" t="n">
        <f aca="false">IF($A15&gt;external_curves!$B$2,ROM_hrs!G15,0)</f>
        <v>0</v>
      </c>
      <c r="O15" s="0" t="n">
        <f aca="false">IF($A15&gt;external_curves!$B$2,ROM_hrs!I15,0)</f>
        <v>0</v>
      </c>
      <c r="P15" s="0" t="n">
        <f aca="false">IF($A15&gt;external_curves!$B$2,#REF!,0)</f>
        <v>0</v>
      </c>
      <c r="R15" s="0" t="n">
        <f aca="false">IF(N15=0,0,(N15-3)*Trades!$G$10)</f>
        <v>0</v>
      </c>
      <c r="S15" s="0" t="n">
        <f aca="false">Trades!$Q$10*(SUM(N15:P15))</f>
        <v>0</v>
      </c>
      <c r="T15" s="0" t="n">
        <f aca="false">Trades!$AC$10*(SUM(N15:P15))</f>
        <v>-0</v>
      </c>
      <c r="U15" s="0" t="n">
        <f aca="false">(S15+T15)+R15</f>
        <v>0</v>
      </c>
      <c r="V15" s="0" t="n">
        <f aca="false">IF(OR(ROM_hrs!B15=1,ROM_hrs!B15=7),Trades!$U$10*(P15),IF(O15+P15=0,0,(Trades!$U$10*(ROM_hrs!O15+3))))</f>
        <v>0</v>
      </c>
      <c r="X15" s="54" t="n">
        <f aca="false">Trades!$H$10</f>
        <v>36.63</v>
      </c>
      <c r="Y15" s="54" t="n">
        <f aca="false">Trades!$R$10</f>
        <v>34.5</v>
      </c>
      <c r="Z15" s="54" t="n">
        <f aca="false">AVERAGE(Trades!$AD$10)</f>
        <v>44.5</v>
      </c>
      <c r="AA15" s="54" t="n">
        <f aca="false">Trades!$V$10</f>
        <v>47</v>
      </c>
      <c r="AB15" s="54" t="n">
        <f aca="false">Trades!$V$10</f>
        <v>47</v>
      </c>
      <c r="AD15" s="139" t="n">
        <f aca="false">Trades!$Q$47</f>
        <v>54.85</v>
      </c>
      <c r="AE15" s="139" t="n">
        <f aca="false">Trades!$P$47</f>
        <v>48.9664377883506</v>
      </c>
      <c r="AF15" s="139" t="n">
        <f aca="false">Trades!$S$47</f>
        <v>42</v>
      </c>
      <c r="AH15" s="139" t="n">
        <f aca="false">R15*(AD15-X15)</f>
        <v>0</v>
      </c>
      <c r="AI15" s="139" t="n">
        <f aca="false">(S15*(AE15-Y15))</f>
        <v>0</v>
      </c>
      <c r="AJ15" s="139" t="n">
        <f aca="false">(T15*(AE15-Z15))</f>
        <v>-0</v>
      </c>
      <c r="AK15" s="139" t="n">
        <f aca="false">U15*(AD15-AA15)</f>
        <v>0</v>
      </c>
      <c r="AL15" s="139" t="n">
        <f aca="false">V15*(AF15-AB15)</f>
        <v>-0</v>
      </c>
    </row>
    <row r="16" customFormat="false" ht="12.75" hidden="false" customHeight="false" outlineLevel="0" collapsed="false">
      <c r="A16" s="61" t="n">
        <v>36686</v>
      </c>
      <c r="B16" s="144" t="n">
        <f aca="false">WEEKDAY(A16)</f>
        <v>6</v>
      </c>
      <c r="C16" s="0" t="s">
        <v>180</v>
      </c>
      <c r="D16" s="0" t="n">
        <f aca="false">IF(C16="Y",0,IF(B16=1,0,16))</f>
        <v>16</v>
      </c>
      <c r="E16" s="0" t="n">
        <f aca="false">24-D16</f>
        <v>8</v>
      </c>
      <c r="G16" s="45" t="n">
        <f aca="false">13</f>
        <v>13</v>
      </c>
      <c r="H16" s="45" t="n">
        <v>3</v>
      </c>
      <c r="I16" s="45" t="n">
        <v>8</v>
      </c>
      <c r="K16" s="0" t="n">
        <f aca="false">IF($A16&gt;external_curves!$B$2,ROM_hrs!D16,0)</f>
        <v>0</v>
      </c>
      <c r="L16" s="0" t="n">
        <f aca="false">IF($A16&gt;external_curves!$B$2,ROM_hrs!E16,0)</f>
        <v>0</v>
      </c>
      <c r="N16" s="0" t="n">
        <f aca="false">IF($A16&gt;external_curves!$B$2,ROM_hrs!G16,0)</f>
        <v>0</v>
      </c>
      <c r="O16" s="0" t="n">
        <f aca="false">IF($A16&gt;external_curves!$B$2,ROM_hrs!I16,0)</f>
        <v>0</v>
      </c>
      <c r="P16" s="0" t="n">
        <f aca="false">IF($A16&gt;external_curves!$B$2,#REF!,0)</f>
        <v>0</v>
      </c>
      <c r="R16" s="0" t="n">
        <f aca="false">IF(N16=0,0,(N16-3)*Trades!$G$10)</f>
        <v>0</v>
      </c>
      <c r="S16" s="0" t="n">
        <f aca="false">Trades!$Q$10*(SUM(N16:P16))</f>
        <v>0</v>
      </c>
      <c r="T16" s="0" t="n">
        <f aca="false">Trades!$AC$10*(SUM(N16:P16))</f>
        <v>-0</v>
      </c>
      <c r="U16" s="0" t="n">
        <f aca="false">(S16+T16)+R16</f>
        <v>0</v>
      </c>
      <c r="V16" s="0" t="n">
        <f aca="false">IF(OR(ROM_hrs!B16=1,ROM_hrs!B16=7),Trades!$U$10*(P16),IF(O16+P16=0,0,(Trades!$U$10*(ROM_hrs!O16+3))))</f>
        <v>0</v>
      </c>
      <c r="X16" s="54" t="n">
        <f aca="false">Trades!$H$10</f>
        <v>36.63</v>
      </c>
      <c r="Y16" s="54" t="n">
        <f aca="false">Trades!$R$10</f>
        <v>34.5</v>
      </c>
      <c r="Z16" s="54" t="n">
        <f aca="false">AVERAGE(Trades!$AD$10)</f>
        <v>44.5</v>
      </c>
      <c r="AA16" s="54" t="n">
        <f aca="false">Trades!$V$10</f>
        <v>47</v>
      </c>
      <c r="AB16" s="54" t="n">
        <f aca="false">Trades!$V$10</f>
        <v>47</v>
      </c>
      <c r="AD16" s="139" t="n">
        <f aca="false">Trades!$Q$47</f>
        <v>54.85</v>
      </c>
      <c r="AE16" s="139" t="n">
        <f aca="false">Trades!$P$47</f>
        <v>48.9664377883506</v>
      </c>
      <c r="AF16" s="139" t="n">
        <f aca="false">Trades!$S$47</f>
        <v>42</v>
      </c>
      <c r="AH16" s="139" t="n">
        <f aca="false">R16*(AD16-X16)</f>
        <v>0</v>
      </c>
      <c r="AI16" s="139" t="n">
        <f aca="false">(S16*(AE16-Y16))</f>
        <v>0</v>
      </c>
      <c r="AJ16" s="139" t="n">
        <f aca="false">(T16*(AE16-Z16))</f>
        <v>-0</v>
      </c>
      <c r="AK16" s="139" t="n">
        <f aca="false">U16*(AD16-AA16)</f>
        <v>0</v>
      </c>
      <c r="AL16" s="139" t="n">
        <f aca="false">V16*(AF16-AB16)</f>
        <v>-0</v>
      </c>
    </row>
    <row r="17" customFormat="false" ht="12.75" hidden="false" customHeight="false" outlineLevel="0" collapsed="false">
      <c r="A17" s="61" t="n">
        <v>36687</v>
      </c>
      <c r="B17" s="144" t="n">
        <f aca="false">WEEKDAY(A17)</f>
        <v>7</v>
      </c>
      <c r="C17" s="0" t="s">
        <v>180</v>
      </c>
      <c r="D17" s="0" t="n">
        <f aca="false">IF(C17="Y",0,IF(B17=1,0,16))</f>
        <v>16</v>
      </c>
      <c r="E17" s="0" t="n">
        <f aca="false">24-D17</f>
        <v>8</v>
      </c>
      <c r="G17" s="45" t="n">
        <f aca="false">13</f>
        <v>13</v>
      </c>
      <c r="H17" s="45" t="n">
        <v>3</v>
      </c>
      <c r="I17" s="45" t="n">
        <v>8</v>
      </c>
      <c r="K17" s="0" t="n">
        <f aca="false">IF($A17&gt;external_curves!$B$2,ROM_hrs!D17,0)</f>
        <v>0</v>
      </c>
      <c r="L17" s="0" t="n">
        <f aca="false">IF($A17&gt;external_curves!$B$2,ROM_hrs!E17,0)</f>
        <v>0</v>
      </c>
      <c r="N17" s="0" t="n">
        <f aca="false">IF($A17&gt;external_curves!$B$2,ROM_hrs!G17,0)</f>
        <v>0</v>
      </c>
      <c r="O17" s="0" t="n">
        <f aca="false">IF($A17&gt;external_curves!$B$2,ROM_hrs!I17,0)</f>
        <v>0</v>
      </c>
      <c r="P17" s="0" t="n">
        <f aca="false">IF($A17&gt;external_curves!$B$2,#REF!,0)</f>
        <v>0</v>
      </c>
      <c r="R17" s="0" t="n">
        <f aca="false">IF(N17=0,0,(N17-3)*Trades!$G$10)</f>
        <v>0</v>
      </c>
      <c r="S17" s="0" t="n">
        <f aca="false">Trades!$Q$10*(SUM(N17:P17))</f>
        <v>0</v>
      </c>
      <c r="T17" s="0" t="n">
        <f aca="false">Trades!$AC$10*(SUM(N17:P17))</f>
        <v>-0</v>
      </c>
      <c r="U17" s="0" t="n">
        <f aca="false">(S17+T17)+R17</f>
        <v>0</v>
      </c>
      <c r="V17" s="0" t="n">
        <f aca="false">IF(OR(ROM_hrs!B17=1,ROM_hrs!B17=7),Trades!$U$10*(P17),IF(O17+P17=0,0,(Trades!$U$10*(ROM_hrs!O17+3))))</f>
        <v>-0</v>
      </c>
      <c r="X17" s="54" t="n">
        <f aca="false">Trades!$H$10</f>
        <v>36.63</v>
      </c>
      <c r="Y17" s="54" t="n">
        <f aca="false">Trades!$R$10</f>
        <v>34.5</v>
      </c>
      <c r="Z17" s="54" t="n">
        <f aca="false">AVERAGE(Trades!$AD$10)</f>
        <v>44.5</v>
      </c>
      <c r="AA17" s="54" t="n">
        <f aca="false">Trades!$V$10</f>
        <v>47</v>
      </c>
      <c r="AB17" s="54" t="n">
        <f aca="false">Trades!$V$10</f>
        <v>47</v>
      </c>
      <c r="AD17" s="139" t="n">
        <f aca="false">Trades!$Q$47</f>
        <v>54.85</v>
      </c>
      <c r="AE17" s="139" t="n">
        <f aca="false">Trades!$P$47</f>
        <v>48.9664377883506</v>
      </c>
      <c r="AF17" s="139" t="n">
        <f aca="false">Trades!$S$47</f>
        <v>42</v>
      </c>
      <c r="AH17" s="139" t="n">
        <f aca="false">R17*(AD17-X17)</f>
        <v>0</v>
      </c>
      <c r="AI17" s="139" t="n">
        <f aca="false">(S17*(AE17-Y17))</f>
        <v>0</v>
      </c>
      <c r="AJ17" s="139" t="n">
        <f aca="false">(T17*(AE17-Z17))</f>
        <v>-0</v>
      </c>
      <c r="AK17" s="139" t="n">
        <f aca="false">U17*(AD17-AA17)</f>
        <v>0</v>
      </c>
      <c r="AL17" s="139" t="n">
        <f aca="false">V17*(AF17-AB17)</f>
        <v>0</v>
      </c>
    </row>
    <row r="18" customFormat="false" ht="12.75" hidden="false" customHeight="false" outlineLevel="0" collapsed="false">
      <c r="A18" s="61" t="n">
        <v>36688</v>
      </c>
      <c r="B18" s="144" t="n">
        <f aca="false">WEEKDAY(A18)</f>
        <v>1</v>
      </c>
      <c r="C18" s="0" t="s">
        <v>180</v>
      </c>
      <c r="D18" s="0" t="n">
        <f aca="false">IF(C18="Y",0,IF(B18=1,0,16))</f>
        <v>0</v>
      </c>
      <c r="E18" s="0" t="n">
        <f aca="false">24-D18</f>
        <v>24</v>
      </c>
      <c r="G18" s="45" t="n">
        <f aca="false">13</f>
        <v>13</v>
      </c>
      <c r="H18" s="45" t="n">
        <v>3</v>
      </c>
      <c r="I18" s="45" t="n">
        <v>8</v>
      </c>
      <c r="K18" s="0" t="n">
        <f aca="false">IF($A18&gt;external_curves!$B$2,ROM_hrs!D18,0)</f>
        <v>0</v>
      </c>
      <c r="L18" s="0" t="n">
        <f aca="false">IF($A18&gt;external_curves!$B$2,ROM_hrs!E18,0)</f>
        <v>0</v>
      </c>
      <c r="N18" s="0" t="n">
        <f aca="false">IF($A18&gt;external_curves!$B$2,ROM_hrs!G18,0)</f>
        <v>0</v>
      </c>
      <c r="O18" s="0" t="n">
        <f aca="false">IF($A18&gt;external_curves!$B$2,ROM_hrs!I18,0)</f>
        <v>0</v>
      </c>
      <c r="P18" s="0" t="n">
        <f aca="false">IF($A18&gt;external_curves!$B$2,#REF!,0)</f>
        <v>0</v>
      </c>
      <c r="R18" s="0" t="n">
        <f aca="false">IF(N18=0,0,(N18-3)*Trades!$G$10)</f>
        <v>0</v>
      </c>
      <c r="S18" s="0" t="n">
        <f aca="false">Trades!$Q$10*(SUM(N18:P18))</f>
        <v>0</v>
      </c>
      <c r="T18" s="0" t="n">
        <f aca="false">Trades!$AC$10*(SUM(N18:P18))</f>
        <v>-0</v>
      </c>
      <c r="U18" s="0" t="n">
        <f aca="false">(S18+T18)+R18</f>
        <v>0</v>
      </c>
      <c r="V18" s="0" t="n">
        <f aca="false">IF(OR(ROM_hrs!B18=1,ROM_hrs!B18=7),Trades!$U$10*(P18),IF(O18+P18=0,0,(Trades!$U$10*(ROM_hrs!O18+3))))</f>
        <v>-0</v>
      </c>
      <c r="X18" s="54" t="n">
        <f aca="false">Trades!$H$10</f>
        <v>36.63</v>
      </c>
      <c r="Y18" s="54" t="n">
        <f aca="false">Trades!$R$10</f>
        <v>34.5</v>
      </c>
      <c r="Z18" s="54" t="n">
        <f aca="false">AVERAGE(Trades!$AD$10)</f>
        <v>44.5</v>
      </c>
      <c r="AA18" s="54" t="n">
        <f aca="false">Trades!$V$10</f>
        <v>47</v>
      </c>
      <c r="AB18" s="54" t="n">
        <f aca="false">Trades!$V$10</f>
        <v>47</v>
      </c>
      <c r="AD18" s="139" t="n">
        <f aca="false">Trades!$Q$47</f>
        <v>54.85</v>
      </c>
      <c r="AE18" s="139" t="n">
        <f aca="false">Trades!$P$47</f>
        <v>48.9664377883506</v>
      </c>
      <c r="AF18" s="139" t="n">
        <f aca="false">Trades!$S$47</f>
        <v>42</v>
      </c>
      <c r="AH18" s="139" t="n">
        <f aca="false">R18*(AD18-X18)</f>
        <v>0</v>
      </c>
      <c r="AI18" s="139" t="n">
        <f aca="false">(S18*(AE18-Y18))</f>
        <v>0</v>
      </c>
      <c r="AJ18" s="139" t="n">
        <f aca="false">(T18*(AE18-Z18))</f>
        <v>-0</v>
      </c>
      <c r="AK18" s="139" t="n">
        <f aca="false">U18*(AD18-AA18)</f>
        <v>0</v>
      </c>
      <c r="AL18" s="139" t="n">
        <f aca="false">V18*(AF18-AB18)</f>
        <v>0</v>
      </c>
    </row>
    <row r="19" customFormat="false" ht="12.75" hidden="false" customHeight="false" outlineLevel="0" collapsed="false">
      <c r="A19" s="61" t="n">
        <v>36689</v>
      </c>
      <c r="B19" s="144" t="n">
        <f aca="false">WEEKDAY(A19)</f>
        <v>2</v>
      </c>
      <c r="C19" s="0" t="s">
        <v>180</v>
      </c>
      <c r="D19" s="0" t="n">
        <f aca="false">IF(C19="Y",0,IF(B19=1,0,16))</f>
        <v>16</v>
      </c>
      <c r="E19" s="0" t="n">
        <f aca="false">24-D19</f>
        <v>8</v>
      </c>
      <c r="G19" s="45" t="n">
        <f aca="false">13</f>
        <v>13</v>
      </c>
      <c r="H19" s="45" t="n">
        <v>3</v>
      </c>
      <c r="I19" s="45" t="n">
        <v>8</v>
      </c>
      <c r="K19" s="0" t="n">
        <f aca="false">IF($A19&gt;external_curves!$B$2,ROM_hrs!D19,0)</f>
        <v>0</v>
      </c>
      <c r="L19" s="0" t="n">
        <f aca="false">IF($A19&gt;external_curves!$B$2,ROM_hrs!E19,0)</f>
        <v>0</v>
      </c>
      <c r="N19" s="0" t="n">
        <f aca="false">IF($A19&gt;external_curves!$B$2,ROM_hrs!G19,0)</f>
        <v>0</v>
      </c>
      <c r="O19" s="0" t="n">
        <f aca="false">IF($A19&gt;external_curves!$B$2,ROM_hrs!I19,0)</f>
        <v>0</v>
      </c>
      <c r="P19" s="0" t="n">
        <f aca="false">IF($A19&gt;external_curves!$B$2,#REF!,0)</f>
        <v>0</v>
      </c>
      <c r="R19" s="0" t="n">
        <f aca="false">IF(N19=0,0,(N19-3)*Trades!$G$10)</f>
        <v>0</v>
      </c>
      <c r="S19" s="0" t="n">
        <f aca="false">Trades!$Q$10*(SUM(N19:P19))</f>
        <v>0</v>
      </c>
      <c r="T19" s="0" t="n">
        <f aca="false">Trades!$AC$10*(SUM(N19:P19))</f>
        <v>-0</v>
      </c>
      <c r="U19" s="0" t="n">
        <f aca="false">(S19+T19)+R19</f>
        <v>0</v>
      </c>
      <c r="V19" s="0" t="n">
        <f aca="false">IF(OR(ROM_hrs!B19=1,ROM_hrs!B19=7),Trades!$U$10*(P19),IF(O19+P19=0,0,(Trades!$U$10*(ROM_hrs!O19+3))))</f>
        <v>0</v>
      </c>
      <c r="X19" s="54" t="n">
        <f aca="false">Trades!$H$10</f>
        <v>36.63</v>
      </c>
      <c r="Y19" s="54" t="n">
        <f aca="false">Trades!$R$10</f>
        <v>34.5</v>
      </c>
      <c r="Z19" s="54" t="n">
        <f aca="false">AVERAGE(Trades!$AD$10)</f>
        <v>44.5</v>
      </c>
      <c r="AA19" s="54" t="n">
        <f aca="false">Trades!$V$10</f>
        <v>47</v>
      </c>
      <c r="AB19" s="54" t="n">
        <f aca="false">Trades!$V$10</f>
        <v>47</v>
      </c>
      <c r="AD19" s="139" t="n">
        <f aca="false">Trades!$Q$47</f>
        <v>54.85</v>
      </c>
      <c r="AE19" s="139" t="n">
        <f aca="false">Trades!$P$47</f>
        <v>48.9664377883506</v>
      </c>
      <c r="AF19" s="139" t="n">
        <f aca="false">Trades!$S$47</f>
        <v>42</v>
      </c>
      <c r="AH19" s="139" t="n">
        <f aca="false">R19*(AD19-X19)</f>
        <v>0</v>
      </c>
      <c r="AI19" s="139" t="n">
        <f aca="false">(S19*(AE19-Y19))</f>
        <v>0</v>
      </c>
      <c r="AJ19" s="139" t="n">
        <f aca="false">(T19*(AE19-Z19))</f>
        <v>-0</v>
      </c>
      <c r="AK19" s="139" t="n">
        <f aca="false">U19*(AD19-AA19)</f>
        <v>0</v>
      </c>
      <c r="AL19" s="139" t="n">
        <f aca="false">V19*(AF19-AB19)</f>
        <v>-0</v>
      </c>
    </row>
    <row r="20" customFormat="false" ht="12.75" hidden="false" customHeight="false" outlineLevel="0" collapsed="false">
      <c r="A20" s="61" t="n">
        <v>36690</v>
      </c>
      <c r="B20" s="144" t="n">
        <f aca="false">WEEKDAY(A20)</f>
        <v>3</v>
      </c>
      <c r="C20" s="0" t="s">
        <v>180</v>
      </c>
      <c r="D20" s="0" t="n">
        <f aca="false">IF(C20="Y",0,IF(B20=1,0,16))</f>
        <v>16</v>
      </c>
      <c r="E20" s="0" t="n">
        <f aca="false">24-D20</f>
        <v>8</v>
      </c>
      <c r="G20" s="45" t="n">
        <f aca="false">13</f>
        <v>13</v>
      </c>
      <c r="H20" s="45" t="n">
        <v>3</v>
      </c>
      <c r="I20" s="45" t="n">
        <v>8</v>
      </c>
      <c r="K20" s="0" t="n">
        <f aca="false">IF($A20&gt;external_curves!$B$2,ROM_hrs!D20,0)</f>
        <v>0</v>
      </c>
      <c r="L20" s="0" t="n">
        <f aca="false">IF($A20&gt;external_curves!$B$2,ROM_hrs!E20,0)</f>
        <v>0</v>
      </c>
      <c r="N20" s="0" t="n">
        <f aca="false">IF($A20&gt;external_curves!$B$2,ROM_hrs!G20,0)</f>
        <v>0</v>
      </c>
      <c r="O20" s="0" t="n">
        <f aca="false">IF($A20&gt;external_curves!$B$2,ROM_hrs!I20,0)</f>
        <v>0</v>
      </c>
      <c r="P20" s="0" t="n">
        <f aca="false">IF($A20&gt;external_curves!$B$2,#REF!,0)</f>
        <v>0</v>
      </c>
      <c r="R20" s="0" t="n">
        <f aca="false">IF(N20=0,0,(N20-3)*Trades!$G$10)</f>
        <v>0</v>
      </c>
      <c r="S20" s="0" t="n">
        <f aca="false">Trades!$Q$10*(SUM(N20:P20))</f>
        <v>0</v>
      </c>
      <c r="T20" s="0" t="n">
        <f aca="false">Trades!$AC$10*(SUM(N20:P20))</f>
        <v>-0</v>
      </c>
      <c r="U20" s="0" t="n">
        <f aca="false">(S20+T20)+R20</f>
        <v>0</v>
      </c>
      <c r="V20" s="0" t="n">
        <f aca="false">IF(OR(ROM_hrs!B20=1,ROM_hrs!B20=7),Trades!$U$10*(P20),IF(O20+P20=0,0,(Trades!$U$10*(ROM_hrs!O20+3))))</f>
        <v>0</v>
      </c>
      <c r="X20" s="54" t="n">
        <f aca="false">Trades!$H$10</f>
        <v>36.63</v>
      </c>
      <c r="Y20" s="54" t="n">
        <f aca="false">Trades!$R$10</f>
        <v>34.5</v>
      </c>
      <c r="Z20" s="54" t="n">
        <f aca="false">AVERAGE(Trades!$AD$10)</f>
        <v>44.5</v>
      </c>
      <c r="AA20" s="54" t="n">
        <f aca="false">Trades!$V$10</f>
        <v>47</v>
      </c>
      <c r="AB20" s="54" t="n">
        <f aca="false">Trades!$V$10</f>
        <v>47</v>
      </c>
      <c r="AD20" s="139" t="n">
        <f aca="false">Trades!$Q$47</f>
        <v>54.85</v>
      </c>
      <c r="AE20" s="139" t="n">
        <f aca="false">Trades!$P$47</f>
        <v>48.9664377883506</v>
      </c>
      <c r="AF20" s="139" t="n">
        <f aca="false">Trades!$S$47</f>
        <v>42</v>
      </c>
      <c r="AH20" s="139" t="n">
        <f aca="false">R20*(AD20-X20)</f>
        <v>0</v>
      </c>
      <c r="AI20" s="139" t="n">
        <f aca="false">(S20*(AE20-Y20))</f>
        <v>0</v>
      </c>
      <c r="AJ20" s="139" t="n">
        <f aca="false">(T20*(AE20-Z20))</f>
        <v>-0</v>
      </c>
      <c r="AK20" s="139" t="n">
        <f aca="false">U20*(AD20-AA20)</f>
        <v>0</v>
      </c>
      <c r="AL20" s="139" t="n">
        <f aca="false">V20*(AF20-AB20)</f>
        <v>-0</v>
      </c>
    </row>
    <row r="21" customFormat="false" ht="12.75" hidden="false" customHeight="false" outlineLevel="0" collapsed="false">
      <c r="A21" s="61" t="n">
        <v>36691</v>
      </c>
      <c r="B21" s="144" t="n">
        <f aca="false">WEEKDAY(A21)</f>
        <v>4</v>
      </c>
      <c r="C21" s="0" t="s">
        <v>180</v>
      </c>
      <c r="D21" s="0" t="n">
        <f aca="false">IF(C21="Y",0,IF(B21=1,0,16))</f>
        <v>16</v>
      </c>
      <c r="E21" s="0" t="n">
        <f aca="false">24-D21</f>
        <v>8</v>
      </c>
      <c r="G21" s="45" t="n">
        <f aca="false">13</f>
        <v>13</v>
      </c>
      <c r="H21" s="45" t="n">
        <v>3</v>
      </c>
      <c r="I21" s="45" t="n">
        <v>8</v>
      </c>
      <c r="K21" s="0" t="n">
        <f aca="false">IF($A21&gt;external_curves!$B$2,ROM_hrs!D21,0)</f>
        <v>0</v>
      </c>
      <c r="L21" s="0" t="n">
        <f aca="false">IF($A21&gt;external_curves!$B$2,ROM_hrs!E21,0)</f>
        <v>0</v>
      </c>
      <c r="N21" s="0" t="n">
        <f aca="false">IF($A21&gt;external_curves!$B$2,ROM_hrs!G21,0)</f>
        <v>0</v>
      </c>
      <c r="O21" s="0" t="n">
        <f aca="false">IF($A21&gt;external_curves!$B$2,ROM_hrs!I21,0)</f>
        <v>0</v>
      </c>
      <c r="P21" s="0" t="n">
        <f aca="false">IF($A21&gt;external_curves!$B$2,#REF!,0)</f>
        <v>0</v>
      </c>
      <c r="R21" s="0" t="n">
        <f aca="false">IF(N21=0,0,(N21-3)*Trades!$G$10)</f>
        <v>0</v>
      </c>
      <c r="S21" s="0" t="n">
        <f aca="false">Trades!$Q$10*(SUM(N21:P21))</f>
        <v>0</v>
      </c>
      <c r="T21" s="0" t="n">
        <f aca="false">Trades!$AC$10*(SUM(N21:P21))</f>
        <v>-0</v>
      </c>
      <c r="U21" s="0" t="n">
        <f aca="false">(S21+T21)+R21</f>
        <v>0</v>
      </c>
      <c r="V21" s="0" t="n">
        <f aca="false">IF(OR(ROM_hrs!B21=1,ROM_hrs!B21=7),Trades!$U$10*(P21),IF(O21+P21=0,0,(Trades!$U$10*(ROM_hrs!O21+3))))</f>
        <v>0</v>
      </c>
      <c r="X21" s="54" t="n">
        <f aca="false">Trades!$H$10</f>
        <v>36.63</v>
      </c>
      <c r="Y21" s="54" t="n">
        <f aca="false">Trades!$R$10</f>
        <v>34.5</v>
      </c>
      <c r="Z21" s="54" t="n">
        <f aca="false">AVERAGE(Trades!$AD$10)</f>
        <v>44.5</v>
      </c>
      <c r="AA21" s="54" t="n">
        <f aca="false">Trades!$V$10</f>
        <v>47</v>
      </c>
      <c r="AB21" s="54" t="n">
        <f aca="false">Trades!$V$10</f>
        <v>47</v>
      </c>
      <c r="AD21" s="139" t="n">
        <f aca="false">Trades!$Q$47</f>
        <v>54.85</v>
      </c>
      <c r="AE21" s="139" t="n">
        <f aca="false">Trades!$P$47</f>
        <v>48.9664377883506</v>
      </c>
      <c r="AF21" s="139" t="n">
        <f aca="false">Trades!$S$47</f>
        <v>42</v>
      </c>
      <c r="AH21" s="139" t="n">
        <f aca="false">R21*(AD21-X21)</f>
        <v>0</v>
      </c>
      <c r="AI21" s="139" t="n">
        <f aca="false">(S21*(AE21-Y21))</f>
        <v>0</v>
      </c>
      <c r="AJ21" s="139" t="n">
        <f aca="false">(T21*(AE21-Z21))</f>
        <v>-0</v>
      </c>
      <c r="AK21" s="139" t="n">
        <f aca="false">U21*(AD21-AA21)</f>
        <v>0</v>
      </c>
      <c r="AL21" s="139" t="n">
        <f aca="false">V21*(AF21-AB21)</f>
        <v>-0</v>
      </c>
    </row>
    <row r="22" customFormat="false" ht="12.75" hidden="false" customHeight="false" outlineLevel="0" collapsed="false">
      <c r="A22" s="61" t="n">
        <v>36692</v>
      </c>
      <c r="B22" s="144" t="n">
        <f aca="false">WEEKDAY(A22)</f>
        <v>5</v>
      </c>
      <c r="C22" s="0" t="s">
        <v>180</v>
      </c>
      <c r="D22" s="0" t="n">
        <f aca="false">IF(C22="Y",0,IF(B22=1,0,16))</f>
        <v>16</v>
      </c>
      <c r="E22" s="0" t="n">
        <f aca="false">24-D22</f>
        <v>8</v>
      </c>
      <c r="G22" s="45" t="n">
        <f aca="false">13</f>
        <v>13</v>
      </c>
      <c r="H22" s="45" t="n">
        <v>3</v>
      </c>
      <c r="I22" s="45" t="n">
        <v>8</v>
      </c>
      <c r="K22" s="0" t="n">
        <f aca="false">IF($A22&gt;external_curves!$B$2,ROM_hrs!D22,0)</f>
        <v>0</v>
      </c>
      <c r="L22" s="0" t="n">
        <f aca="false">IF($A22&gt;external_curves!$B$2,ROM_hrs!E22,0)</f>
        <v>0</v>
      </c>
      <c r="N22" s="0" t="n">
        <f aca="false">IF($A22&gt;external_curves!$B$2,ROM_hrs!G22,0)</f>
        <v>0</v>
      </c>
      <c r="O22" s="0" t="n">
        <f aca="false">IF($A22&gt;external_curves!$B$2,ROM_hrs!I22,0)</f>
        <v>0</v>
      </c>
      <c r="P22" s="0" t="n">
        <f aca="false">IF($A22&gt;external_curves!$B$2,#REF!,0)</f>
        <v>0</v>
      </c>
      <c r="R22" s="0" t="n">
        <f aca="false">IF(N22=0,0,(N22-3)*Trades!$G$10)</f>
        <v>0</v>
      </c>
      <c r="S22" s="0" t="n">
        <f aca="false">Trades!$Q$10*(SUM(N22:P22))</f>
        <v>0</v>
      </c>
      <c r="T22" s="0" t="n">
        <f aca="false">(Trades!$AC$10+Trades!$U$10)*(SUM(N22:P22))</f>
        <v>-0</v>
      </c>
      <c r="U22" s="0" t="n">
        <f aca="false">(S22+T22)+R22</f>
        <v>0</v>
      </c>
      <c r="V22" s="0" t="n">
        <f aca="false">IF(OR(ROM_hrs!B22=1,ROM_hrs!B22=7),Trades!$U$10*(P22),IF(O22+P22=0,0,(Trades!$U$10*(ROM_hrs!O22+3))))</f>
        <v>0</v>
      </c>
      <c r="X22" s="54" t="n">
        <f aca="false">Trades!$H$10</f>
        <v>36.63</v>
      </c>
      <c r="Y22" s="54" t="n">
        <f aca="false">Trades!$R$10</f>
        <v>34.5</v>
      </c>
      <c r="Z22" s="54" t="n">
        <f aca="false">AVERAGE(Trades!$AD$10)</f>
        <v>44.5</v>
      </c>
      <c r="AA22" s="54" t="n">
        <f aca="false">Trades!$V$10</f>
        <v>47</v>
      </c>
      <c r="AB22" s="54" t="n">
        <f aca="false">Trades!$V$10</f>
        <v>47</v>
      </c>
      <c r="AD22" s="139" t="n">
        <f aca="false">Trades!$Q$47</f>
        <v>54.85</v>
      </c>
      <c r="AE22" s="139" t="n">
        <f aca="false">Trades!$P$47</f>
        <v>48.9664377883506</v>
      </c>
      <c r="AF22" s="139" t="n">
        <f aca="false">Trades!$S$47</f>
        <v>42</v>
      </c>
      <c r="AH22" s="139" t="n">
        <f aca="false">R22*(AD22-X22)</f>
        <v>0</v>
      </c>
      <c r="AI22" s="139" t="n">
        <f aca="false">(S22*(AE22-Y22))</f>
        <v>0</v>
      </c>
      <c r="AJ22" s="139" t="n">
        <f aca="false">(T22*(AE22-Z22))</f>
        <v>-0</v>
      </c>
      <c r="AK22" s="139" t="n">
        <f aca="false">U22*(AD22-AA22)</f>
        <v>0</v>
      </c>
      <c r="AL22" s="139" t="n">
        <f aca="false">V22*(AF22-AB22)</f>
        <v>-0</v>
      </c>
    </row>
    <row r="23" customFormat="false" ht="12.75" hidden="false" customHeight="false" outlineLevel="0" collapsed="false">
      <c r="A23" s="61" t="n">
        <v>36693</v>
      </c>
      <c r="B23" s="144" t="n">
        <f aca="false">WEEKDAY(A23)</f>
        <v>6</v>
      </c>
      <c r="C23" s="0" t="s">
        <v>180</v>
      </c>
      <c r="D23" s="0" t="n">
        <f aca="false">IF(C23="Y",0,IF(B23=1,0,16))</f>
        <v>16</v>
      </c>
      <c r="E23" s="0" t="n">
        <f aca="false">24-D23</f>
        <v>8</v>
      </c>
      <c r="G23" s="45" t="n">
        <f aca="false">13</f>
        <v>13</v>
      </c>
      <c r="H23" s="45" t="n">
        <v>3</v>
      </c>
      <c r="I23" s="45" t="n">
        <v>8</v>
      </c>
      <c r="K23" s="0" t="n">
        <f aca="false">IF($A23&gt;external_curves!$B$2,ROM_hrs!D23,0)</f>
        <v>0</v>
      </c>
      <c r="L23" s="0" t="n">
        <f aca="false">IF($A23&gt;external_curves!$B$2,ROM_hrs!E23,0)</f>
        <v>0</v>
      </c>
      <c r="N23" s="0" t="n">
        <f aca="false">IF($A23&gt;external_curves!$B$2,ROM_hrs!G23,0)</f>
        <v>0</v>
      </c>
      <c r="O23" s="0" t="n">
        <f aca="false">IF($A23&gt;external_curves!$B$2,ROM_hrs!I23,0)</f>
        <v>0</v>
      </c>
      <c r="P23" s="0" t="n">
        <f aca="false">IF($A23&gt;external_curves!$B$2,#REF!,0)</f>
        <v>0</v>
      </c>
      <c r="R23" s="0" t="n">
        <f aca="false">IF(N23=0,0,(N23-3)*Trades!$G$10)</f>
        <v>0</v>
      </c>
      <c r="S23" s="0" t="n">
        <f aca="false">Trades!$Q$10*(SUM(N23:P23))</f>
        <v>0</v>
      </c>
      <c r="T23" s="0" t="n">
        <f aca="false">(Trades!$AC$10)*(SUM(N23:P23))</f>
        <v>-0</v>
      </c>
      <c r="U23" s="0" t="n">
        <f aca="false">IF(OR(B23=1,B23=7),0,IF(N23=0,0,(Trades!$U$10)*(N23-3)))</f>
        <v>0</v>
      </c>
      <c r="V23" s="0" t="n">
        <f aca="false">IF(OR(ROM_hrs!B23=1,ROM_hrs!B23=7),Trades!$U$10*(P23),IF(O23+P23=0,0,(Trades!$U$10*(ROM_hrs!O23+3))))</f>
        <v>0</v>
      </c>
      <c r="X23" s="54" t="n">
        <f aca="false">Trades!$H$10</f>
        <v>36.63</v>
      </c>
      <c r="Y23" s="54" t="n">
        <f aca="false">Trades!$R$10</f>
        <v>34.5</v>
      </c>
      <c r="Z23" s="54" t="n">
        <f aca="false">AVERAGE(Trades!$AD$10)</f>
        <v>44.5</v>
      </c>
      <c r="AA23" s="54" t="n">
        <f aca="false">Trades!$V$10</f>
        <v>47</v>
      </c>
      <c r="AB23" s="54" t="n">
        <f aca="false">Trades!$V$10</f>
        <v>47</v>
      </c>
      <c r="AD23" s="139" t="n">
        <f aca="false">Trades!$Q$47</f>
        <v>54.85</v>
      </c>
      <c r="AE23" s="139" t="n">
        <f aca="false">Trades!$P$47</f>
        <v>48.9664377883506</v>
      </c>
      <c r="AF23" s="139" t="n">
        <f aca="false">Trades!$S$47</f>
        <v>42</v>
      </c>
      <c r="AH23" s="139" t="n">
        <f aca="false">R23*(AD23-X23)</f>
        <v>0</v>
      </c>
      <c r="AI23" s="139" t="n">
        <f aca="false">(S23*(AE23-Y23))</f>
        <v>0</v>
      </c>
      <c r="AJ23" s="139" t="n">
        <f aca="false">(T23*(AE23-Z23))</f>
        <v>-0</v>
      </c>
      <c r="AK23" s="139" t="n">
        <f aca="false">U23*(AD23-AA23)</f>
        <v>0</v>
      </c>
      <c r="AL23" s="139" t="n">
        <f aca="false">V23*(AF23-AB23)</f>
        <v>-0</v>
      </c>
    </row>
    <row r="24" customFormat="false" ht="12.75" hidden="false" customHeight="false" outlineLevel="0" collapsed="false">
      <c r="A24" s="61" t="n">
        <v>36694</v>
      </c>
      <c r="B24" s="144" t="n">
        <f aca="false">WEEKDAY(A24)</f>
        <v>7</v>
      </c>
      <c r="C24" s="0" t="s">
        <v>180</v>
      </c>
      <c r="D24" s="0" t="n">
        <f aca="false">IF(C24="Y",0,IF(B24=1,0,16))</f>
        <v>16</v>
      </c>
      <c r="E24" s="0" t="n">
        <f aca="false">24-D24</f>
        <v>8</v>
      </c>
      <c r="G24" s="45" t="n">
        <f aca="false">13</f>
        <v>13</v>
      </c>
      <c r="H24" s="45" t="n">
        <v>3</v>
      </c>
      <c r="I24" s="45" t="n">
        <v>8</v>
      </c>
      <c r="K24" s="0" t="n">
        <f aca="false">IF($A24&gt;external_curves!$B$2,ROM_hrs!D24,0)</f>
        <v>0</v>
      </c>
      <c r="L24" s="0" t="n">
        <f aca="false">IF($A24&gt;external_curves!$B$2,ROM_hrs!E24,0)</f>
        <v>0</v>
      </c>
      <c r="N24" s="0" t="n">
        <f aca="false">IF($A24&gt;external_curves!$B$2,ROM_hrs!G24,0)</f>
        <v>0</v>
      </c>
      <c r="O24" s="0" t="n">
        <f aca="false">IF($A24&gt;external_curves!$B$2,ROM_hrs!I24,0)</f>
        <v>0</v>
      </c>
      <c r="P24" s="0" t="n">
        <f aca="false">IF($A24&gt;external_curves!$B$2,#REF!,0)</f>
        <v>0</v>
      </c>
      <c r="R24" s="0" t="n">
        <f aca="false">IF(N24=0,0,(N24-3)*Trades!$G$10)</f>
        <v>0</v>
      </c>
      <c r="S24" s="0" t="n">
        <f aca="false">Trades!$Q$10*(SUM(N24:P24))</f>
        <v>0</v>
      </c>
      <c r="T24" s="0" t="n">
        <f aca="false">(Trades!$AC$10)*(SUM(N24:P24))</f>
        <v>-0</v>
      </c>
      <c r="U24" s="0" t="n">
        <f aca="false">IF(OR(B24=1,B24=7),0,IF(N24=0,0,(Trades!$U$10)*(N24-3)))</f>
        <v>0</v>
      </c>
      <c r="V24" s="0" t="n">
        <f aca="false">IF(OR(ROM_hrs!B24=1,ROM_hrs!B24=7),Trades!$U$10*(P24),IF(O24+P24=0,0,(Trades!$U$10*(ROM_hrs!O24+3))))</f>
        <v>-0</v>
      </c>
      <c r="X24" s="54" t="n">
        <f aca="false">Trades!$H$10</f>
        <v>36.63</v>
      </c>
      <c r="Y24" s="54" t="n">
        <f aca="false">Trades!$R$10</f>
        <v>34.5</v>
      </c>
      <c r="Z24" s="54" t="n">
        <f aca="false">AVERAGE(Trades!$AD$10)</f>
        <v>44.5</v>
      </c>
      <c r="AA24" s="54" t="n">
        <f aca="false">Trades!$V$10</f>
        <v>47</v>
      </c>
      <c r="AB24" s="54" t="n">
        <f aca="false">Trades!$V$10</f>
        <v>47</v>
      </c>
      <c r="AD24" s="139" t="n">
        <f aca="false">Trades!$Q$47</f>
        <v>54.85</v>
      </c>
      <c r="AE24" s="139" t="n">
        <f aca="false">Trades!$P$47</f>
        <v>48.9664377883506</v>
      </c>
      <c r="AF24" s="139" t="n">
        <f aca="false">Trades!$S$47</f>
        <v>42</v>
      </c>
      <c r="AH24" s="139" t="n">
        <f aca="false">R24*(AD24-X24)</f>
        <v>0</v>
      </c>
      <c r="AI24" s="139" t="n">
        <f aca="false">(S24*(AE24-Y24))</f>
        <v>0</v>
      </c>
      <c r="AJ24" s="139" t="n">
        <f aca="false">(T24*(AE24-Z24))</f>
        <v>-0</v>
      </c>
      <c r="AK24" s="139" t="n">
        <f aca="false">U24*(AD24-AA24)</f>
        <v>0</v>
      </c>
      <c r="AL24" s="139" t="n">
        <f aca="false">V24*(AF24-AB24)</f>
        <v>0</v>
      </c>
    </row>
    <row r="25" customFormat="false" ht="12.75" hidden="false" customHeight="false" outlineLevel="0" collapsed="false">
      <c r="A25" s="61" t="n">
        <v>36695</v>
      </c>
      <c r="B25" s="144" t="n">
        <f aca="false">WEEKDAY(A25)</f>
        <v>1</v>
      </c>
      <c r="C25" s="0" t="s">
        <v>180</v>
      </c>
      <c r="D25" s="0" t="n">
        <f aca="false">IF(C25="Y",0,IF(B25=1,0,16))</f>
        <v>0</v>
      </c>
      <c r="E25" s="0" t="n">
        <f aca="false">24-D25</f>
        <v>24</v>
      </c>
      <c r="G25" s="45" t="n">
        <f aca="false">13</f>
        <v>13</v>
      </c>
      <c r="H25" s="45" t="n">
        <v>3</v>
      </c>
      <c r="I25" s="45" t="n">
        <v>8</v>
      </c>
      <c r="K25" s="0" t="n">
        <f aca="false">IF($A25&gt;external_curves!$B$2,ROM_hrs!D25,0)</f>
        <v>0</v>
      </c>
      <c r="L25" s="0" t="n">
        <f aca="false">IF($A25&gt;external_curves!$B$2,ROM_hrs!E25,0)</f>
        <v>0</v>
      </c>
      <c r="N25" s="0" t="n">
        <f aca="false">IF($A25&gt;external_curves!$B$2,ROM_hrs!G25,0)</f>
        <v>0</v>
      </c>
      <c r="O25" s="0" t="n">
        <f aca="false">IF($A25&gt;external_curves!$B$2,ROM_hrs!I25,0)</f>
        <v>0</v>
      </c>
      <c r="P25" s="0" t="n">
        <f aca="false">IF($A25&gt;external_curves!$B$2,#REF!,0)</f>
        <v>0</v>
      </c>
      <c r="R25" s="0" t="n">
        <f aca="false">IF(N25=0,0,(N25-3)*Trades!$G$10)</f>
        <v>0</v>
      </c>
      <c r="S25" s="0" t="n">
        <f aca="false">Trades!$Q$10*(SUM(N25:P25))</f>
        <v>0</v>
      </c>
      <c r="T25" s="0" t="n">
        <f aca="false">(Trades!$AC$10)*(SUM(N25:P25))</f>
        <v>-0</v>
      </c>
      <c r="U25" s="0" t="n">
        <f aca="false">IF(OR(B25=1,B25=7),0,IF(N25=0,0,(Trades!$U$10)*(N25-3)))</f>
        <v>0</v>
      </c>
      <c r="V25" s="0" t="n">
        <f aca="false">IF(OR(ROM_hrs!B25=1,ROM_hrs!B25=7),Trades!$U$10*(P25),IF(O25+P25=0,0,(Trades!$U$10*(ROM_hrs!O25+3))))</f>
        <v>-0</v>
      </c>
      <c r="X25" s="54" t="n">
        <f aca="false">Trades!$H$10</f>
        <v>36.63</v>
      </c>
      <c r="Y25" s="54" t="n">
        <f aca="false">Trades!$R$10</f>
        <v>34.5</v>
      </c>
      <c r="Z25" s="54" t="n">
        <f aca="false">AVERAGE(Trades!$AD$10)</f>
        <v>44.5</v>
      </c>
      <c r="AA25" s="54" t="n">
        <f aca="false">Trades!$V$10</f>
        <v>47</v>
      </c>
      <c r="AB25" s="54" t="n">
        <f aca="false">Trades!$V$10</f>
        <v>47</v>
      </c>
      <c r="AD25" s="139" t="n">
        <f aca="false">Trades!$Q$47</f>
        <v>54.85</v>
      </c>
      <c r="AE25" s="139" t="n">
        <f aca="false">Trades!$P$47</f>
        <v>48.9664377883506</v>
      </c>
      <c r="AF25" s="139" t="n">
        <f aca="false">Trades!$S$47</f>
        <v>42</v>
      </c>
      <c r="AH25" s="139" t="n">
        <f aca="false">R25*(AD25-X25)</f>
        <v>0</v>
      </c>
      <c r="AI25" s="139" t="n">
        <f aca="false">(S25*(AE25-Y25))</f>
        <v>0</v>
      </c>
      <c r="AJ25" s="139" t="n">
        <f aca="false">(T25*(AE25-Z25))</f>
        <v>-0</v>
      </c>
      <c r="AK25" s="139" t="n">
        <f aca="false">U25*(AD25-AA25)</f>
        <v>0</v>
      </c>
      <c r="AL25" s="139" t="n">
        <f aca="false">V25*(AF25-AB25)</f>
        <v>0</v>
      </c>
    </row>
    <row r="26" customFormat="false" ht="12.75" hidden="false" customHeight="false" outlineLevel="0" collapsed="false">
      <c r="A26" s="61" t="n">
        <v>36696</v>
      </c>
      <c r="B26" s="144" t="n">
        <f aca="false">WEEKDAY(A26)</f>
        <v>2</v>
      </c>
      <c r="C26" s="0" t="s">
        <v>180</v>
      </c>
      <c r="D26" s="0" t="n">
        <f aca="false">IF(C26="Y",0,IF(B26=1,0,16))</f>
        <v>16</v>
      </c>
      <c r="E26" s="0" t="n">
        <f aca="false">24-D26</f>
        <v>8</v>
      </c>
      <c r="G26" s="45" t="n">
        <f aca="false">13</f>
        <v>13</v>
      </c>
      <c r="H26" s="45" t="n">
        <v>3</v>
      </c>
      <c r="I26" s="45" t="n">
        <v>8</v>
      </c>
      <c r="K26" s="0" t="n">
        <f aca="false">IF($A26&gt;external_curves!$B$2,ROM_hrs!D26,0)</f>
        <v>0</v>
      </c>
      <c r="L26" s="0" t="n">
        <f aca="false">IF($A26&gt;external_curves!$B$2,ROM_hrs!E26,0)</f>
        <v>0</v>
      </c>
      <c r="N26" s="0" t="n">
        <f aca="false">IF($A26&gt;external_curves!$B$2,ROM_hrs!G26,0)</f>
        <v>0</v>
      </c>
      <c r="O26" s="0" t="n">
        <f aca="false">IF($A26&gt;external_curves!$B$2,ROM_hrs!I26,0)</f>
        <v>0</v>
      </c>
      <c r="P26" s="0" t="n">
        <f aca="false">IF($A26&gt;external_curves!$B$2,#REF!,0)</f>
        <v>0</v>
      </c>
      <c r="R26" s="0" t="n">
        <f aca="false">IF(N26=0,0,(N26-3)*Trades!$G$10)</f>
        <v>0</v>
      </c>
      <c r="S26" s="0" t="n">
        <f aca="false">Trades!$Q$10*(SUM(N26:P26))</f>
        <v>0</v>
      </c>
      <c r="T26" s="0" t="n">
        <f aca="false">(Trades!$AC$10)*(SUM(N26:P26))</f>
        <v>-0</v>
      </c>
      <c r="U26" s="0" t="n">
        <f aca="false">IF(OR(B26=1,B26=7),0,IF(N26=0,0,(Trades!$U$10)*(N26-3)))</f>
        <v>0</v>
      </c>
      <c r="V26" s="0" t="n">
        <f aca="false">IF(OR(ROM_hrs!B26=1,ROM_hrs!B26=7),Trades!$U$10*(P26),IF(O26+P26=0,0,(Trades!$U$10*(ROM_hrs!O26+3))))</f>
        <v>0</v>
      </c>
      <c r="X26" s="54" t="n">
        <f aca="false">Trades!$H$10</f>
        <v>36.63</v>
      </c>
      <c r="Y26" s="54" t="n">
        <f aca="false">Trades!$R$10</f>
        <v>34.5</v>
      </c>
      <c r="Z26" s="54" t="n">
        <f aca="false">AVERAGE(Trades!$AD$10)</f>
        <v>44.5</v>
      </c>
      <c r="AA26" s="54" t="n">
        <f aca="false">Trades!$V$10</f>
        <v>47</v>
      </c>
      <c r="AB26" s="54" t="n">
        <f aca="false">Trades!$V$10</f>
        <v>47</v>
      </c>
      <c r="AD26" s="139" t="n">
        <f aca="false">Trades!$Q$47</f>
        <v>54.85</v>
      </c>
      <c r="AE26" s="139" t="n">
        <f aca="false">Trades!$P$47</f>
        <v>48.9664377883506</v>
      </c>
      <c r="AF26" s="139" t="n">
        <f aca="false">Trades!$S$47</f>
        <v>42</v>
      </c>
      <c r="AH26" s="139" t="n">
        <f aca="false">R26*(AD26-X26)</f>
        <v>0</v>
      </c>
      <c r="AI26" s="139" t="n">
        <f aca="false">(S26*(AE26-Y26))</f>
        <v>0</v>
      </c>
      <c r="AJ26" s="139" t="n">
        <f aca="false">(T26*(AE26-Z26))</f>
        <v>-0</v>
      </c>
      <c r="AK26" s="139" t="n">
        <f aca="false">U26*(AD26-AA26)</f>
        <v>0</v>
      </c>
      <c r="AL26" s="139" t="n">
        <f aca="false">V26*(AF26-AB26)</f>
        <v>-0</v>
      </c>
    </row>
    <row r="27" customFormat="false" ht="12.75" hidden="false" customHeight="false" outlineLevel="0" collapsed="false">
      <c r="A27" s="61" t="n">
        <v>36697</v>
      </c>
      <c r="B27" s="144" t="n">
        <f aca="false">WEEKDAY(A27)</f>
        <v>3</v>
      </c>
      <c r="C27" s="0" t="s">
        <v>180</v>
      </c>
      <c r="D27" s="0" t="n">
        <f aca="false">IF(C27="Y",0,IF(B27=1,0,16))</f>
        <v>16</v>
      </c>
      <c r="E27" s="0" t="n">
        <f aca="false">24-D27</f>
        <v>8</v>
      </c>
      <c r="G27" s="45" t="n">
        <f aca="false">13</f>
        <v>13</v>
      </c>
      <c r="H27" s="45" t="n">
        <v>3</v>
      </c>
      <c r="I27" s="45" t="n">
        <v>8</v>
      </c>
      <c r="K27" s="0" t="n">
        <f aca="false">IF($A27&gt;external_curves!$B$2,ROM_hrs!D27,0)</f>
        <v>0</v>
      </c>
      <c r="L27" s="0" t="n">
        <f aca="false">IF($A27&gt;external_curves!$B$2,ROM_hrs!E27,0)</f>
        <v>0</v>
      </c>
      <c r="N27" s="0" t="n">
        <f aca="false">IF($A27&gt;external_curves!$B$2,ROM_hrs!G27,0)</f>
        <v>0</v>
      </c>
      <c r="O27" s="0" t="n">
        <f aca="false">IF($A27&gt;external_curves!$B$2,ROM_hrs!I27,0)</f>
        <v>0</v>
      </c>
      <c r="P27" s="0" t="n">
        <f aca="false">IF($A27&gt;external_curves!$B$2,#REF!,0)</f>
        <v>0</v>
      </c>
      <c r="R27" s="0" t="n">
        <f aca="false">IF(N27=0,0,(N27-3)*Trades!$G$10)</f>
        <v>0</v>
      </c>
      <c r="S27" s="0" t="n">
        <f aca="false">Trades!$Q$10*(SUM(N27:P27))</f>
        <v>0</v>
      </c>
      <c r="T27" s="0" t="n">
        <f aca="false">(Trades!$AC$10)*(SUM(N27:P27))</f>
        <v>-0</v>
      </c>
      <c r="U27" s="0" t="n">
        <f aca="false">IF(OR(B27=1,B27=7),0,IF(N27=0,0,(Trades!$U$10)*(N27-3)))</f>
        <v>0</v>
      </c>
      <c r="V27" s="0" t="n">
        <f aca="false">IF(OR(ROM_hrs!B27=1,ROM_hrs!B27=7),Trades!$U$10*(P27),IF(O27+P27=0,0,(Trades!$U$10*(ROM_hrs!O27+3))))</f>
        <v>0</v>
      </c>
      <c r="X27" s="54" t="n">
        <f aca="false">Trades!$H$10</f>
        <v>36.63</v>
      </c>
      <c r="Y27" s="54" t="n">
        <f aca="false">Trades!$R$10</f>
        <v>34.5</v>
      </c>
      <c r="Z27" s="54" t="n">
        <f aca="false">AVERAGE(Trades!$AD$10)</f>
        <v>44.5</v>
      </c>
      <c r="AA27" s="54" t="n">
        <f aca="false">Trades!$V$10</f>
        <v>47</v>
      </c>
      <c r="AB27" s="54" t="n">
        <f aca="false">Trades!$V$10</f>
        <v>47</v>
      </c>
      <c r="AD27" s="139" t="n">
        <f aca="false">Trades!$Q$47</f>
        <v>54.85</v>
      </c>
      <c r="AE27" s="139" t="n">
        <f aca="false">Trades!$P$47</f>
        <v>48.9664377883506</v>
      </c>
      <c r="AF27" s="139" t="n">
        <f aca="false">Trades!$S$47</f>
        <v>42</v>
      </c>
      <c r="AH27" s="139" t="n">
        <f aca="false">R27*(AD27-X27)</f>
        <v>0</v>
      </c>
      <c r="AI27" s="139" t="n">
        <f aca="false">(S27*(AE27-Y27))</f>
        <v>0</v>
      </c>
      <c r="AJ27" s="139" t="n">
        <f aca="false">(T27*(AE27-Z27))</f>
        <v>-0</v>
      </c>
      <c r="AK27" s="139" t="n">
        <f aca="false">U27*(AD27-AA27)</f>
        <v>0</v>
      </c>
      <c r="AL27" s="139" t="n">
        <f aca="false">V27*(AF27-AB27)</f>
        <v>-0</v>
      </c>
    </row>
    <row r="28" customFormat="false" ht="12.75" hidden="false" customHeight="false" outlineLevel="0" collapsed="false">
      <c r="A28" s="61" t="n">
        <v>36698</v>
      </c>
      <c r="B28" s="144" t="n">
        <f aca="false">WEEKDAY(A28)</f>
        <v>4</v>
      </c>
      <c r="C28" s="0" t="s">
        <v>180</v>
      </c>
      <c r="D28" s="0" t="n">
        <f aca="false">IF(C28="Y",0,IF(B28=1,0,16))</f>
        <v>16</v>
      </c>
      <c r="E28" s="0" t="n">
        <f aca="false">24-D28</f>
        <v>8</v>
      </c>
      <c r="G28" s="45" t="n">
        <f aca="false">13</f>
        <v>13</v>
      </c>
      <c r="H28" s="45" t="n">
        <v>3</v>
      </c>
      <c r="I28" s="45" t="n">
        <v>8</v>
      </c>
      <c r="K28" s="0" t="n">
        <f aca="false">IF($A28&gt;external_curves!$B$2,ROM_hrs!D28,0)</f>
        <v>0</v>
      </c>
      <c r="L28" s="0" t="n">
        <f aca="false">IF($A28&gt;external_curves!$B$2,ROM_hrs!E28,0)</f>
        <v>0</v>
      </c>
      <c r="N28" s="0" t="n">
        <f aca="false">IF($A28&gt;external_curves!$B$2,ROM_hrs!G28,0)</f>
        <v>0</v>
      </c>
      <c r="O28" s="0" t="n">
        <f aca="false">IF($A28&gt;external_curves!$B$2,ROM_hrs!I28,0)</f>
        <v>0</v>
      </c>
      <c r="P28" s="0" t="n">
        <f aca="false">IF($A28&gt;external_curves!$B$2,#REF!,0)</f>
        <v>0</v>
      </c>
      <c r="R28" s="0" t="n">
        <f aca="false">IF(N28=0,0,(N28-3)*Trades!$G$10)</f>
        <v>0</v>
      </c>
      <c r="S28" s="0" t="n">
        <f aca="false">Trades!$Q$10*(SUM(N28:P28))</f>
        <v>0</v>
      </c>
      <c r="T28" s="0" t="n">
        <f aca="false">(Trades!$AC$10)*(SUM(N28:P28))</f>
        <v>-0</v>
      </c>
      <c r="U28" s="0" t="n">
        <f aca="false">IF(OR(B28=1,B28=7),0,IF(N28=0,0,(Trades!$U$10)*(N28-3)))</f>
        <v>0</v>
      </c>
      <c r="V28" s="0" t="n">
        <f aca="false">IF(OR(ROM_hrs!B28=1,ROM_hrs!B28=7),Trades!$U$10*(P28),IF(O28+P28=0,0,(Trades!$U$10*(ROM_hrs!O28+3))))</f>
        <v>0</v>
      </c>
      <c r="X28" s="54" t="n">
        <f aca="false">Trades!$H$10</f>
        <v>36.63</v>
      </c>
      <c r="Y28" s="54" t="n">
        <f aca="false">Trades!$R$10</f>
        <v>34.5</v>
      </c>
      <c r="Z28" s="54" t="n">
        <f aca="false">AVERAGE(Trades!$AD$10)</f>
        <v>44.5</v>
      </c>
      <c r="AA28" s="54" t="n">
        <f aca="false">Trades!$V$10</f>
        <v>47</v>
      </c>
      <c r="AB28" s="54" t="n">
        <f aca="false">Trades!$V$10</f>
        <v>47</v>
      </c>
      <c r="AD28" s="139" t="n">
        <f aca="false">Trades!$Q$47</f>
        <v>54.85</v>
      </c>
      <c r="AE28" s="139" t="n">
        <f aca="false">Trades!$P$47</f>
        <v>48.9664377883506</v>
      </c>
      <c r="AF28" s="139" t="n">
        <f aca="false">Trades!$S$47</f>
        <v>42</v>
      </c>
      <c r="AH28" s="139" t="n">
        <f aca="false">R28*(AD28-X28)</f>
        <v>0</v>
      </c>
      <c r="AI28" s="139" t="n">
        <f aca="false">(S28*(AE28-Y28))</f>
        <v>0</v>
      </c>
      <c r="AJ28" s="139" t="n">
        <f aca="false">(T28*(AE28-Z28))</f>
        <v>-0</v>
      </c>
      <c r="AK28" s="139" t="n">
        <f aca="false">U28*(AD28-AA28)</f>
        <v>0</v>
      </c>
      <c r="AL28" s="139" t="n">
        <f aca="false">V28*(AF28-AB28)</f>
        <v>-0</v>
      </c>
    </row>
    <row r="29" customFormat="false" ht="12.75" hidden="false" customHeight="false" outlineLevel="0" collapsed="false">
      <c r="A29" s="61" t="n">
        <v>36699</v>
      </c>
      <c r="B29" s="144" t="n">
        <f aca="false">WEEKDAY(A29)</f>
        <v>5</v>
      </c>
      <c r="C29" s="0" t="s">
        <v>180</v>
      </c>
      <c r="D29" s="0" t="n">
        <f aca="false">IF(C29="Y",0,IF(B29=1,0,16))</f>
        <v>16</v>
      </c>
      <c r="E29" s="0" t="n">
        <f aca="false">24-D29</f>
        <v>8</v>
      </c>
      <c r="G29" s="45" t="n">
        <f aca="false">13</f>
        <v>13</v>
      </c>
      <c r="H29" s="45" t="n">
        <v>3</v>
      </c>
      <c r="I29" s="45" t="n">
        <v>8</v>
      </c>
      <c r="K29" s="0" t="n">
        <f aca="false">IF($A29&gt;external_curves!$B$2,ROM_hrs!D29,0)</f>
        <v>0</v>
      </c>
      <c r="L29" s="0" t="n">
        <f aca="false">IF($A29&gt;external_curves!$B$2,ROM_hrs!E29,0)</f>
        <v>0</v>
      </c>
      <c r="N29" s="0" t="n">
        <f aca="false">IF($A29&gt;external_curves!$B$2,ROM_hrs!G29,0)</f>
        <v>0</v>
      </c>
      <c r="O29" s="0" t="n">
        <f aca="false">IF($A29&gt;external_curves!$B$2,ROM_hrs!I29,0)</f>
        <v>0</v>
      </c>
      <c r="P29" s="0" t="n">
        <f aca="false">IF($A29&gt;external_curves!$B$2,#REF!,0)</f>
        <v>0</v>
      </c>
      <c r="R29" s="0" t="n">
        <f aca="false">IF(N29=0,0,(N29-3)*Trades!$G$10)</f>
        <v>0</v>
      </c>
      <c r="S29" s="0" t="n">
        <f aca="false">Trades!$Q$10*(SUM(N29:P29))</f>
        <v>0</v>
      </c>
      <c r="T29" s="0" t="n">
        <f aca="false">(Trades!$AC$10)*(SUM(N29:P29))</f>
        <v>-0</v>
      </c>
      <c r="U29" s="0" t="n">
        <f aca="false">IF(OR(B29=1,B29=7),0,IF(N29=0,0,(Trades!$U$10)*(N29-3)))</f>
        <v>0</v>
      </c>
      <c r="V29" s="0" t="n">
        <f aca="false">IF(OR(ROM_hrs!B29=1,ROM_hrs!B29=7),Trades!$U$10*(P29),IF(O29+P29=0,0,(Trades!$U$10*(ROM_hrs!O29+3))))</f>
        <v>0</v>
      </c>
      <c r="X29" s="54" t="n">
        <f aca="false">Trades!$H$10</f>
        <v>36.63</v>
      </c>
      <c r="Y29" s="54" t="n">
        <f aca="false">Trades!$R$10</f>
        <v>34.5</v>
      </c>
      <c r="Z29" s="54" t="n">
        <f aca="false">AVERAGE(Trades!$AD$10)</f>
        <v>44.5</v>
      </c>
      <c r="AA29" s="54" t="n">
        <f aca="false">Trades!$V$10</f>
        <v>47</v>
      </c>
      <c r="AB29" s="54" t="n">
        <f aca="false">Trades!$V$10</f>
        <v>47</v>
      </c>
      <c r="AD29" s="139" t="n">
        <f aca="false">Trades!$Q$47</f>
        <v>54.85</v>
      </c>
      <c r="AE29" s="139" t="n">
        <f aca="false">Trades!$P$47</f>
        <v>48.9664377883506</v>
      </c>
      <c r="AF29" s="139" t="n">
        <f aca="false">Trades!$S$47</f>
        <v>42</v>
      </c>
      <c r="AH29" s="139" t="n">
        <f aca="false">R29*(AD29-X29)</f>
        <v>0</v>
      </c>
      <c r="AI29" s="139" t="n">
        <f aca="false">(S29*(AE29-Y29))</f>
        <v>0</v>
      </c>
      <c r="AJ29" s="139" t="n">
        <f aca="false">(T29*(AE29-Z29))</f>
        <v>-0</v>
      </c>
      <c r="AK29" s="139" t="n">
        <f aca="false">U29*(AD29-AA29)</f>
        <v>0</v>
      </c>
      <c r="AL29" s="139" t="n">
        <f aca="false">V29*(AF29-AB29)</f>
        <v>-0</v>
      </c>
    </row>
    <row r="30" customFormat="false" ht="12.75" hidden="false" customHeight="false" outlineLevel="0" collapsed="false">
      <c r="A30" s="61" t="n">
        <v>36700</v>
      </c>
      <c r="B30" s="144" t="n">
        <f aca="false">WEEKDAY(A30)</f>
        <v>6</v>
      </c>
      <c r="C30" s="0" t="s">
        <v>180</v>
      </c>
      <c r="D30" s="0" t="n">
        <f aca="false">IF(C30="Y",0,IF(B30=1,0,16))</f>
        <v>16</v>
      </c>
      <c r="E30" s="0" t="n">
        <f aca="false">24-D30</f>
        <v>8</v>
      </c>
      <c r="G30" s="45" t="n">
        <f aca="false">13</f>
        <v>13</v>
      </c>
      <c r="H30" s="45" t="n">
        <v>3</v>
      </c>
      <c r="I30" s="45" t="n">
        <v>8</v>
      </c>
      <c r="K30" s="0" t="n">
        <f aca="false">IF($A30&gt;external_curves!$B$2,ROM_hrs!D30,0)</f>
        <v>0</v>
      </c>
      <c r="L30" s="0" t="n">
        <f aca="false">IF($A30&gt;external_curves!$B$2,ROM_hrs!E30,0)</f>
        <v>0</v>
      </c>
      <c r="N30" s="0" t="n">
        <f aca="false">IF($A30&gt;external_curves!$B$2,ROM_hrs!G30,0)</f>
        <v>0</v>
      </c>
      <c r="O30" s="0" t="n">
        <f aca="false">IF($A30&gt;external_curves!$B$2,ROM_hrs!I30,0)</f>
        <v>0</v>
      </c>
      <c r="P30" s="0" t="n">
        <f aca="false">IF($A30&gt;external_curves!$B$2,#REF!,0)</f>
        <v>0</v>
      </c>
      <c r="R30" s="0" t="n">
        <f aca="false">IF(N30=0,0,(N30-3)*Trades!$G$10)</f>
        <v>0</v>
      </c>
      <c r="S30" s="0" t="n">
        <f aca="false">Trades!$Q$10*(SUM(N30:P30))</f>
        <v>0</v>
      </c>
      <c r="T30" s="0" t="n">
        <f aca="false">(Trades!$AC$10)*(SUM(N30:P30))</f>
        <v>-0</v>
      </c>
      <c r="U30" s="0" t="n">
        <f aca="false">IF(OR(B30=1,B30=7),0,IF(N30=0,0,(Trades!$U$10)*(N30-3)))</f>
        <v>0</v>
      </c>
      <c r="V30" s="0" t="n">
        <f aca="false">IF(OR(ROM_hrs!B30=1,ROM_hrs!B30=7),Trades!$U$10*(P30),IF(O30+P30=0,0,(Trades!$U$10*(ROM_hrs!O30+3))))</f>
        <v>0</v>
      </c>
      <c r="X30" s="54" t="n">
        <f aca="false">Trades!$H$10</f>
        <v>36.63</v>
      </c>
      <c r="Y30" s="54" t="n">
        <f aca="false">Trades!$R$10</f>
        <v>34.5</v>
      </c>
      <c r="Z30" s="54" t="n">
        <f aca="false">AVERAGE(Trades!$AD$10)</f>
        <v>44.5</v>
      </c>
      <c r="AA30" s="54" t="n">
        <f aca="false">Trades!$V$10</f>
        <v>47</v>
      </c>
      <c r="AB30" s="54" t="n">
        <f aca="false">Trades!$V$10</f>
        <v>47</v>
      </c>
      <c r="AD30" s="139" t="n">
        <f aca="false">Trades!$Q$47</f>
        <v>54.85</v>
      </c>
      <c r="AE30" s="139" t="n">
        <f aca="false">Trades!$P$47</f>
        <v>48.9664377883506</v>
      </c>
      <c r="AF30" s="139" t="n">
        <f aca="false">Trades!$S$47</f>
        <v>42</v>
      </c>
      <c r="AH30" s="139" t="n">
        <f aca="false">R30*(AD30-X30)</f>
        <v>0</v>
      </c>
      <c r="AI30" s="139" t="n">
        <f aca="false">(S30*(AE30-Y30))</f>
        <v>0</v>
      </c>
      <c r="AJ30" s="139" t="n">
        <f aca="false">(T30*(AE30-Z30))</f>
        <v>-0</v>
      </c>
      <c r="AK30" s="139" t="n">
        <f aca="false">U30*(AD30-AA30)</f>
        <v>0</v>
      </c>
      <c r="AL30" s="139" t="n">
        <f aca="false">V30*(AF30-AB30)</f>
        <v>-0</v>
      </c>
    </row>
    <row r="31" customFormat="false" ht="12.75" hidden="false" customHeight="false" outlineLevel="0" collapsed="false">
      <c r="A31" s="61" t="n">
        <v>36701</v>
      </c>
      <c r="B31" s="144" t="n">
        <f aca="false">WEEKDAY(A31)</f>
        <v>7</v>
      </c>
      <c r="C31" s="0" t="s">
        <v>180</v>
      </c>
      <c r="D31" s="0" t="n">
        <f aca="false">IF(C31="Y",0,IF(B31=1,0,16))</f>
        <v>16</v>
      </c>
      <c r="E31" s="0" t="n">
        <f aca="false">24-D31</f>
        <v>8</v>
      </c>
      <c r="G31" s="45" t="n">
        <f aca="false">13</f>
        <v>13</v>
      </c>
      <c r="H31" s="45" t="n">
        <v>3</v>
      </c>
      <c r="I31" s="45" t="n">
        <v>8</v>
      </c>
      <c r="K31" s="0" t="n">
        <f aca="false">IF($A31&gt;external_curves!$B$2,ROM_hrs!D31,0)</f>
        <v>0</v>
      </c>
      <c r="L31" s="0" t="n">
        <f aca="false">IF($A31&gt;external_curves!$B$2,ROM_hrs!E31,0)</f>
        <v>0</v>
      </c>
      <c r="N31" s="0" t="n">
        <f aca="false">IF($A31&gt;external_curves!$B$2,ROM_hrs!G31,0)</f>
        <v>0</v>
      </c>
      <c r="O31" s="0" t="n">
        <f aca="false">IF($A31&gt;external_curves!$B$2,ROM_hrs!I31,0)</f>
        <v>0</v>
      </c>
      <c r="P31" s="0" t="n">
        <f aca="false">IF($A31&gt;external_curves!$B$2,#REF!,0)</f>
        <v>0</v>
      </c>
      <c r="R31" s="0" t="n">
        <f aca="false">IF(N31=0,0,(N31-3)*Trades!$G$10)</f>
        <v>0</v>
      </c>
      <c r="S31" s="0" t="n">
        <f aca="false">Trades!$Q$10*(SUM(N31:P31))</f>
        <v>0</v>
      </c>
      <c r="T31" s="0" t="n">
        <f aca="false">(Trades!$AC$10)*(SUM(N31:P31))</f>
        <v>-0</v>
      </c>
      <c r="U31" s="0" t="n">
        <f aca="false">IF(OR(B31=1,B31=7),0,IF(N31=0,0,(Trades!$U$10)*(N31-3)))</f>
        <v>0</v>
      </c>
      <c r="V31" s="0" t="n">
        <f aca="false">IF(OR(ROM_hrs!B31=1,ROM_hrs!B31=7),Trades!$U$10*(P31),IF(O31+P31=0,0,(Trades!$U$10*(ROM_hrs!O31+3))))</f>
        <v>-0</v>
      </c>
      <c r="X31" s="54" t="n">
        <f aca="false">Trades!$H$10</f>
        <v>36.63</v>
      </c>
      <c r="Y31" s="54" t="n">
        <f aca="false">Trades!$R$10</f>
        <v>34.5</v>
      </c>
      <c r="Z31" s="54" t="n">
        <f aca="false">AVERAGE(Trades!$AD$10)</f>
        <v>44.5</v>
      </c>
      <c r="AA31" s="54" t="n">
        <f aca="false">Trades!$V$10</f>
        <v>47</v>
      </c>
      <c r="AB31" s="54" t="n">
        <f aca="false">Trades!$V$10</f>
        <v>47</v>
      </c>
      <c r="AD31" s="139" t="n">
        <f aca="false">Trades!$Q$47</f>
        <v>54.85</v>
      </c>
      <c r="AE31" s="139" t="n">
        <f aca="false">Trades!$P$47</f>
        <v>48.9664377883506</v>
      </c>
      <c r="AF31" s="139" t="n">
        <f aca="false">Trades!$S$47</f>
        <v>42</v>
      </c>
      <c r="AH31" s="139" t="n">
        <f aca="false">R31*(AD31-X31)</f>
        <v>0</v>
      </c>
      <c r="AI31" s="139" t="n">
        <f aca="false">(S31*(AE31-Y31))</f>
        <v>0</v>
      </c>
      <c r="AJ31" s="139" t="n">
        <f aca="false">(T31*(AE31-Z31))</f>
        <v>-0</v>
      </c>
      <c r="AK31" s="139" t="n">
        <f aca="false">U31*(AD31-AA31)</f>
        <v>0</v>
      </c>
      <c r="AL31" s="139" t="n">
        <f aca="false">V31*(AF31-AB31)</f>
        <v>0</v>
      </c>
    </row>
    <row r="32" customFormat="false" ht="12.75" hidden="false" customHeight="false" outlineLevel="0" collapsed="false">
      <c r="A32" s="61" t="n">
        <v>36702</v>
      </c>
      <c r="B32" s="144" t="n">
        <f aca="false">WEEKDAY(A32)</f>
        <v>1</v>
      </c>
      <c r="C32" s="0" t="s">
        <v>180</v>
      </c>
      <c r="D32" s="0" t="n">
        <f aca="false">IF(C32="Y",0,IF(B32=1,0,16))</f>
        <v>0</v>
      </c>
      <c r="E32" s="0" t="n">
        <f aca="false">24-D32</f>
        <v>24</v>
      </c>
      <c r="G32" s="45" t="n">
        <f aca="false">13</f>
        <v>13</v>
      </c>
      <c r="H32" s="45" t="n">
        <v>3</v>
      </c>
      <c r="I32" s="45" t="n">
        <v>8</v>
      </c>
      <c r="K32" s="0" t="n">
        <f aca="false">IF($A32&gt;external_curves!$B$2,ROM_hrs!D32,0)</f>
        <v>0</v>
      </c>
      <c r="L32" s="0" t="n">
        <f aca="false">IF($A32&gt;external_curves!$B$2,ROM_hrs!E32,0)</f>
        <v>0</v>
      </c>
      <c r="N32" s="0" t="n">
        <f aca="false">IF($A32&gt;external_curves!$B$2,ROM_hrs!G32,0)</f>
        <v>0</v>
      </c>
      <c r="O32" s="0" t="n">
        <f aca="false">IF($A32&gt;external_curves!$B$2,ROM_hrs!I32,0)</f>
        <v>0</v>
      </c>
      <c r="P32" s="0" t="n">
        <f aca="false">IF($A32&gt;external_curves!$B$2,#REF!,0)</f>
        <v>0</v>
      </c>
      <c r="R32" s="0" t="n">
        <f aca="false">IF(N32=0,0,(N32-3)*Trades!$G$10)</f>
        <v>0</v>
      </c>
      <c r="S32" s="0" t="n">
        <f aca="false">Trades!$Q$10*(SUM(N32:P32))</f>
        <v>0</v>
      </c>
      <c r="T32" s="0" t="n">
        <f aca="false">(Trades!$AC$10)*(SUM(N32:P32))</f>
        <v>-0</v>
      </c>
      <c r="U32" s="0" t="n">
        <f aca="false">IF(OR(B32=1,B32=7),0,IF(N32=0,0,(Trades!$U$10)*(N32-3)))</f>
        <v>0</v>
      </c>
      <c r="V32" s="0" t="n">
        <f aca="false">IF(OR(ROM_hrs!B32=1,ROM_hrs!B32=7),Trades!$U$10*(P32),IF(O32+P32=0,0,(Trades!$U$10*(ROM_hrs!O32+3))))</f>
        <v>-0</v>
      </c>
      <c r="X32" s="54" t="n">
        <f aca="false">Trades!$H$10</f>
        <v>36.63</v>
      </c>
      <c r="Y32" s="54" t="n">
        <f aca="false">Trades!$R$10</f>
        <v>34.5</v>
      </c>
      <c r="Z32" s="54" t="n">
        <f aca="false">AVERAGE(Trades!$AD$10)</f>
        <v>44.5</v>
      </c>
      <c r="AA32" s="54" t="n">
        <f aca="false">Trades!$V$10</f>
        <v>47</v>
      </c>
      <c r="AB32" s="54" t="n">
        <f aca="false">Trades!$V$10</f>
        <v>47</v>
      </c>
      <c r="AD32" s="139" t="n">
        <f aca="false">Trades!$Q$47</f>
        <v>54.85</v>
      </c>
      <c r="AE32" s="139" t="n">
        <f aca="false">Trades!$P$47</f>
        <v>48.9664377883506</v>
      </c>
      <c r="AF32" s="139" t="n">
        <f aca="false">Trades!$S$47</f>
        <v>42</v>
      </c>
      <c r="AH32" s="139" t="n">
        <f aca="false">R32*(AD32-X32)</f>
        <v>0</v>
      </c>
      <c r="AI32" s="139" t="n">
        <f aca="false">(S32*(AE32-Y32))</f>
        <v>0</v>
      </c>
      <c r="AJ32" s="139" t="n">
        <f aca="false">(T32*(AE32-Z32))</f>
        <v>-0</v>
      </c>
      <c r="AK32" s="139" t="n">
        <f aca="false">U32*(AD32-AA32)</f>
        <v>0</v>
      </c>
      <c r="AL32" s="139" t="n">
        <f aca="false">V32*(AF32-AB32)</f>
        <v>0</v>
      </c>
    </row>
    <row r="33" customFormat="false" ht="12.75" hidden="false" customHeight="false" outlineLevel="0" collapsed="false">
      <c r="A33" s="61" t="n">
        <v>36703</v>
      </c>
      <c r="B33" s="144" t="n">
        <f aca="false">WEEKDAY(A33)</f>
        <v>2</v>
      </c>
      <c r="C33" s="0" t="s">
        <v>180</v>
      </c>
      <c r="D33" s="0" t="n">
        <f aca="false">IF(C33="Y",0,IF(B33=1,0,16))</f>
        <v>16</v>
      </c>
      <c r="E33" s="0" t="n">
        <f aca="false">24-D33</f>
        <v>8</v>
      </c>
      <c r="G33" s="45" t="n">
        <f aca="false">13</f>
        <v>13</v>
      </c>
      <c r="H33" s="45" t="n">
        <v>3</v>
      </c>
      <c r="I33" s="45" t="n">
        <v>8</v>
      </c>
      <c r="K33" s="0" t="n">
        <f aca="false">IF($A33&gt;external_curves!$B$2,ROM_hrs!D33,0)</f>
        <v>0</v>
      </c>
      <c r="L33" s="0" t="n">
        <f aca="false">IF($A33&gt;external_curves!$B$2,ROM_hrs!E33,0)</f>
        <v>0</v>
      </c>
      <c r="N33" s="0" t="n">
        <f aca="false">IF($A33&gt;external_curves!$B$2,ROM_hrs!G33,0)</f>
        <v>0</v>
      </c>
      <c r="O33" s="0" t="n">
        <f aca="false">IF($A33&gt;external_curves!$B$2,ROM_hrs!I33,0)</f>
        <v>0</v>
      </c>
      <c r="P33" s="0" t="n">
        <f aca="false">IF($A33&gt;external_curves!$B$2,#REF!,0)</f>
        <v>0</v>
      </c>
      <c r="R33" s="0" t="n">
        <f aca="false">IF(N33=0,0,(N33-3)*Trades!$G$10)</f>
        <v>0</v>
      </c>
      <c r="S33" s="0" t="n">
        <f aca="false">Trades!$Q$10*(SUM(N33:P33))</f>
        <v>0</v>
      </c>
      <c r="T33" s="0" t="n">
        <f aca="false">(Trades!$AC$10)*(SUM(N33:P33))</f>
        <v>-0</v>
      </c>
      <c r="U33" s="0" t="n">
        <f aca="false">IF(OR(B33=1,B33=7),0,IF(N33=0,0,(Trades!$U$10)*(N33-3)))</f>
        <v>0</v>
      </c>
      <c r="V33" s="0" t="n">
        <f aca="false">IF(OR(ROM_hrs!B33=1,ROM_hrs!B33=7),Trades!$U$10*(P33),IF(O33+P33=0,0,(Trades!$U$10*(ROM_hrs!O33+3))))</f>
        <v>0</v>
      </c>
      <c r="X33" s="54" t="n">
        <f aca="false">Trades!$H$10</f>
        <v>36.63</v>
      </c>
      <c r="Y33" s="54" t="n">
        <f aca="false">Trades!$R$10</f>
        <v>34.5</v>
      </c>
      <c r="Z33" s="54" t="n">
        <f aca="false">AVERAGE(Trades!$AD$10)</f>
        <v>44.5</v>
      </c>
      <c r="AA33" s="54" t="n">
        <f aca="false">Trades!$V$10</f>
        <v>47</v>
      </c>
      <c r="AB33" s="54" t="n">
        <f aca="false">Trades!$V$10</f>
        <v>47</v>
      </c>
      <c r="AD33" s="139" t="n">
        <f aca="false">Trades!$Q$47</f>
        <v>54.85</v>
      </c>
      <c r="AE33" s="139" t="n">
        <f aca="false">Trades!$P$47</f>
        <v>48.9664377883506</v>
      </c>
      <c r="AF33" s="139" t="n">
        <f aca="false">Trades!$S$47</f>
        <v>42</v>
      </c>
      <c r="AH33" s="139" t="n">
        <f aca="false">R33*(AD33-X33)</f>
        <v>0</v>
      </c>
      <c r="AI33" s="139" t="n">
        <f aca="false">(S33*(AE33-Y33))</f>
        <v>0</v>
      </c>
      <c r="AJ33" s="139" t="n">
        <f aca="false">(T33*(AE33-Z33))</f>
        <v>-0</v>
      </c>
      <c r="AK33" s="139" t="n">
        <f aca="false">U33*(AD33-AA33)</f>
        <v>0</v>
      </c>
      <c r="AL33" s="139" t="n">
        <f aca="false">V33*(AF33-AB33)</f>
        <v>-0</v>
      </c>
    </row>
    <row r="34" customFormat="false" ht="12.75" hidden="false" customHeight="false" outlineLevel="0" collapsed="false">
      <c r="A34" s="61" t="n">
        <v>36704</v>
      </c>
      <c r="B34" s="144" t="n">
        <f aca="false">WEEKDAY(A34)</f>
        <v>3</v>
      </c>
      <c r="C34" s="0" t="s">
        <v>180</v>
      </c>
      <c r="D34" s="0" t="n">
        <f aca="false">IF(C34="Y",0,IF(B34=1,0,16))</f>
        <v>16</v>
      </c>
      <c r="E34" s="0" t="n">
        <f aca="false">24-D34</f>
        <v>8</v>
      </c>
      <c r="G34" s="45" t="n">
        <f aca="false">13</f>
        <v>13</v>
      </c>
      <c r="H34" s="45" t="n">
        <v>3</v>
      </c>
      <c r="I34" s="45" t="n">
        <v>8</v>
      </c>
      <c r="K34" s="0" t="n">
        <f aca="false">IF($A34&gt;external_curves!$B$2,ROM_hrs!D34,0)</f>
        <v>0</v>
      </c>
      <c r="L34" s="0" t="n">
        <f aca="false">IF($A34&gt;external_curves!$B$2,ROM_hrs!E34,0)</f>
        <v>0</v>
      </c>
      <c r="N34" s="0" t="n">
        <f aca="false">IF($A34&gt;external_curves!$B$2,ROM_hrs!G34,0)</f>
        <v>0</v>
      </c>
      <c r="O34" s="0" t="n">
        <f aca="false">IF($A34&gt;external_curves!$B$2,ROM_hrs!I34,0)</f>
        <v>0</v>
      </c>
      <c r="P34" s="0" t="n">
        <f aca="false">IF($A34&gt;external_curves!$B$2,#REF!,0)</f>
        <v>0</v>
      </c>
      <c r="R34" s="0" t="n">
        <f aca="false">IF(N34=0,0,(N34-3)*Trades!$G$10)</f>
        <v>0</v>
      </c>
      <c r="S34" s="0" t="n">
        <f aca="false">Trades!$Q$10*(SUM(N34:P34))</f>
        <v>0</v>
      </c>
      <c r="T34" s="0" t="n">
        <f aca="false">(Trades!$AC$10)*(SUM(N34:P34))</f>
        <v>-0</v>
      </c>
      <c r="U34" s="0" t="n">
        <f aca="false">IF(OR(B34=1,B34=7),0,IF(N34=0,0,(Trades!$U$10)*(N34-3)))</f>
        <v>0</v>
      </c>
      <c r="V34" s="0" t="n">
        <f aca="false">IF(OR(ROM_hrs!B34=1,ROM_hrs!B34=7),Trades!$U$10*(P34),IF(O34+P34=0,0,(Trades!$U$10*(ROM_hrs!O34+3))))</f>
        <v>0</v>
      </c>
      <c r="X34" s="54" t="n">
        <f aca="false">Trades!$H$10</f>
        <v>36.63</v>
      </c>
      <c r="Y34" s="54" t="n">
        <f aca="false">Trades!$R$10</f>
        <v>34.5</v>
      </c>
      <c r="Z34" s="54" t="n">
        <f aca="false">AVERAGE(Trades!$AD$10)</f>
        <v>44.5</v>
      </c>
      <c r="AA34" s="54" t="n">
        <f aca="false">Trades!$V$10</f>
        <v>47</v>
      </c>
      <c r="AB34" s="54" t="n">
        <f aca="false">Trades!$V$10</f>
        <v>47</v>
      </c>
      <c r="AD34" s="139" t="n">
        <f aca="false">Trades!$Q$47</f>
        <v>54.85</v>
      </c>
      <c r="AE34" s="139" t="n">
        <f aca="false">Trades!$P$47</f>
        <v>48.9664377883506</v>
      </c>
      <c r="AF34" s="139" t="n">
        <f aca="false">Trades!$S$47</f>
        <v>42</v>
      </c>
      <c r="AH34" s="139" t="n">
        <f aca="false">R34*(AD34-X34)</f>
        <v>0</v>
      </c>
      <c r="AI34" s="139" t="n">
        <f aca="false">(S34*(AE34-Y34))</f>
        <v>0</v>
      </c>
      <c r="AJ34" s="139" t="n">
        <f aca="false">(T34*(AE34-Z34))</f>
        <v>-0</v>
      </c>
      <c r="AK34" s="139" t="n">
        <f aca="false">U34*(AD34-AA34)</f>
        <v>0</v>
      </c>
      <c r="AL34" s="139" t="n">
        <f aca="false">V34*(AF34-AB34)</f>
        <v>-0</v>
      </c>
    </row>
    <row r="35" customFormat="false" ht="12.75" hidden="false" customHeight="false" outlineLevel="0" collapsed="false">
      <c r="A35" s="61" t="n">
        <v>36705</v>
      </c>
      <c r="B35" s="144" t="n">
        <f aca="false">WEEKDAY(A35)</f>
        <v>4</v>
      </c>
      <c r="C35" s="0" t="s">
        <v>180</v>
      </c>
      <c r="D35" s="0" t="n">
        <f aca="false">IF(C35="Y",0,IF(B35=1,0,16))</f>
        <v>16</v>
      </c>
      <c r="E35" s="0" t="n">
        <f aca="false">24-D35</f>
        <v>8</v>
      </c>
      <c r="G35" s="45" t="n">
        <f aca="false">13</f>
        <v>13</v>
      </c>
      <c r="H35" s="45" t="n">
        <v>3</v>
      </c>
      <c r="I35" s="45" t="n">
        <v>8</v>
      </c>
      <c r="K35" s="0" t="n">
        <f aca="false">IF($A35&gt;external_curves!$B$2,ROM_hrs!D35,0)</f>
        <v>0</v>
      </c>
      <c r="L35" s="0" t="n">
        <f aca="false">IF($A35&gt;external_curves!$B$2,ROM_hrs!E35,0)</f>
        <v>0</v>
      </c>
      <c r="N35" s="0" t="n">
        <f aca="false">IF($A35&gt;external_curves!$B$2,ROM_hrs!G35,0)</f>
        <v>0</v>
      </c>
      <c r="O35" s="0" t="n">
        <f aca="false">IF($A35&gt;external_curves!$B$2,ROM_hrs!I35,0)</f>
        <v>0</v>
      </c>
      <c r="P35" s="0" t="n">
        <f aca="false">IF($A35&gt;external_curves!$B$2,#REF!,0)</f>
        <v>0</v>
      </c>
      <c r="R35" s="0" t="n">
        <f aca="false">IF(N35=0,0,(N35-3)*Trades!$G$10)</f>
        <v>0</v>
      </c>
      <c r="S35" s="0" t="n">
        <f aca="false">Trades!$Q$10*(SUM(N35:P35))</f>
        <v>0</v>
      </c>
      <c r="T35" s="0" t="n">
        <f aca="false">(Trades!$AC$10)*(SUM(N35:P35))</f>
        <v>-0</v>
      </c>
      <c r="U35" s="0" t="n">
        <f aca="false">IF(OR(B35=1,B35=7),0,IF(N35=0,0,(Trades!$U$10)*(N35-3)))</f>
        <v>0</v>
      </c>
      <c r="V35" s="0" t="n">
        <f aca="false">IF(OR(ROM_hrs!B35=1,ROM_hrs!B35=7),Trades!$U$10*(P35),IF(O35+P35=0,0,(Trades!$U$10*(ROM_hrs!O35+3))))</f>
        <v>0</v>
      </c>
      <c r="X35" s="54" t="n">
        <f aca="false">Trades!$H$10</f>
        <v>36.63</v>
      </c>
      <c r="Y35" s="54" t="n">
        <f aca="false">Trades!$R$10</f>
        <v>34.5</v>
      </c>
      <c r="Z35" s="54" t="n">
        <f aca="false">AVERAGE(Trades!$AD$10)</f>
        <v>44.5</v>
      </c>
      <c r="AA35" s="54" t="n">
        <f aca="false">Trades!$V$10</f>
        <v>47</v>
      </c>
      <c r="AB35" s="54" t="n">
        <f aca="false">Trades!$V$10</f>
        <v>47</v>
      </c>
      <c r="AD35" s="139" t="n">
        <f aca="false">Trades!$Q$47</f>
        <v>54.85</v>
      </c>
      <c r="AE35" s="139" t="n">
        <f aca="false">Trades!$P$47</f>
        <v>48.9664377883506</v>
      </c>
      <c r="AF35" s="139" t="n">
        <f aca="false">Trades!$S$47</f>
        <v>42</v>
      </c>
      <c r="AH35" s="139" t="n">
        <f aca="false">R35*(AD35-X35)</f>
        <v>0</v>
      </c>
      <c r="AI35" s="139" t="n">
        <f aca="false">(S35*(AE35-Y35))</f>
        <v>0</v>
      </c>
      <c r="AJ35" s="139" t="n">
        <f aca="false">(T35*(AE35-Z35))</f>
        <v>-0</v>
      </c>
      <c r="AK35" s="139" t="n">
        <f aca="false">U35*(AD35-AA35)</f>
        <v>0</v>
      </c>
      <c r="AL35" s="139" t="n">
        <f aca="false">V35*(AF35-AB35)</f>
        <v>-0</v>
      </c>
    </row>
    <row r="36" customFormat="false" ht="12.75" hidden="false" customHeight="false" outlineLevel="0" collapsed="false">
      <c r="A36" s="61" t="n">
        <v>36706</v>
      </c>
      <c r="B36" s="144" t="n">
        <f aca="false">WEEKDAY(A36)</f>
        <v>5</v>
      </c>
      <c r="C36" s="0" t="s">
        <v>181</v>
      </c>
      <c r="D36" s="0" t="n">
        <f aca="false">IF(C36="Y",0,IF(B36=1,0,16))</f>
        <v>0</v>
      </c>
      <c r="E36" s="0" t="n">
        <f aca="false">24-D36</f>
        <v>24</v>
      </c>
      <c r="G36" s="45" t="n">
        <f aca="false">13</f>
        <v>13</v>
      </c>
      <c r="H36" s="45" t="n">
        <v>3</v>
      </c>
      <c r="I36" s="45" t="n">
        <v>8</v>
      </c>
      <c r="K36" s="0" t="n">
        <f aca="false">IF($A36&gt;external_curves!$B$2,ROM_hrs!D36,0)</f>
        <v>0</v>
      </c>
      <c r="L36" s="0" t="n">
        <f aca="false">IF($A36&gt;external_curves!$B$2,ROM_hrs!E36,0)</f>
        <v>0</v>
      </c>
      <c r="N36" s="0" t="n">
        <f aca="false">IF($A36&gt;external_curves!$B$2,ROM_hrs!G36,0)</f>
        <v>0</v>
      </c>
      <c r="O36" s="0" t="n">
        <f aca="false">IF($A36&gt;external_curves!$B$2,ROM_hrs!I36,0)</f>
        <v>0</v>
      </c>
      <c r="P36" s="0" t="n">
        <f aca="false">IF($A36&gt;external_curves!$B$2,#REF!,0)</f>
        <v>0</v>
      </c>
      <c r="R36" s="0" t="n">
        <f aca="false">IF(N36=0,0,(N36-3)*Trades!$G$10)</f>
        <v>0</v>
      </c>
      <c r="S36" s="0" t="n">
        <f aca="false">Trades!$Q$10*(SUM(N36:P36))</f>
        <v>0</v>
      </c>
      <c r="T36" s="0" t="n">
        <f aca="false">(Trades!$AC$10)*(SUM(N36:P36))</f>
        <v>-0</v>
      </c>
      <c r="U36" s="0" t="n">
        <f aca="false">IF(OR(B36=1,B36=7),0,IF(N36=0,0,(Trades!$U$10)*(N36-3)))</f>
        <v>0</v>
      </c>
      <c r="V36" s="0" t="n">
        <f aca="false">IF(OR(ROM_hrs!B36=1,ROM_hrs!B36=7),Trades!$U$10*(P36),IF(O36+P36=0,0,(Trades!$U$10*(ROM_hrs!O36+3))))</f>
        <v>0</v>
      </c>
      <c r="X36" s="54" t="n">
        <f aca="false">Trades!$H$10</f>
        <v>36.63</v>
      </c>
      <c r="Y36" s="54" t="n">
        <f aca="false">Trades!$R$10</f>
        <v>34.5</v>
      </c>
      <c r="Z36" s="54" t="n">
        <f aca="false">AVERAGE(Trades!$AD$10)</f>
        <v>44.5</v>
      </c>
      <c r="AA36" s="54" t="n">
        <f aca="false">Trades!$V$10</f>
        <v>47</v>
      </c>
      <c r="AB36" s="54" t="n">
        <f aca="false">Trades!$V$10</f>
        <v>47</v>
      </c>
      <c r="AD36" s="139" t="n">
        <f aca="false">Trades!$Q$47</f>
        <v>54.85</v>
      </c>
      <c r="AE36" s="139" t="n">
        <f aca="false">Trades!$P$47</f>
        <v>48.9664377883506</v>
      </c>
      <c r="AF36" s="139" t="n">
        <f aca="false">Trades!$S$47</f>
        <v>42</v>
      </c>
      <c r="AH36" s="139" t="n">
        <f aca="false">R36*(AD36-X36)</f>
        <v>0</v>
      </c>
      <c r="AI36" s="139" t="n">
        <f aca="false">(S36*(AE36-Y36))</f>
        <v>0</v>
      </c>
      <c r="AJ36" s="139" t="n">
        <f aca="false">(T36*(AE36-Z36))</f>
        <v>-0</v>
      </c>
      <c r="AK36" s="139" t="n">
        <f aca="false">U36*(AD36-AA36)</f>
        <v>0</v>
      </c>
      <c r="AL36" s="139" t="n">
        <f aca="false">V36*(AF36-AB36)</f>
        <v>-0</v>
      </c>
    </row>
    <row r="37" customFormat="false" ht="12.75" hidden="false" customHeight="false" outlineLevel="0" collapsed="false">
      <c r="A37" s="61" t="n">
        <v>36707</v>
      </c>
      <c r="B37" s="144" t="n">
        <f aca="false">WEEKDAY(A37)</f>
        <v>6</v>
      </c>
      <c r="C37" s="0" t="s">
        <v>180</v>
      </c>
      <c r="D37" s="0" t="n">
        <f aca="false">IF(C37="Y",0,IF(B37=1,0,16))</f>
        <v>16</v>
      </c>
      <c r="E37" s="0" t="n">
        <f aca="false">24-D37</f>
        <v>8</v>
      </c>
      <c r="G37" s="45" t="n">
        <f aca="false">13</f>
        <v>13</v>
      </c>
      <c r="H37" s="45" t="n">
        <v>3</v>
      </c>
      <c r="I37" s="45" t="n">
        <v>8</v>
      </c>
      <c r="K37" s="0" t="n">
        <f aca="false">IF($A37&gt;external_curves!$B$2,ROM_hrs!D37,0)</f>
        <v>0</v>
      </c>
      <c r="L37" s="0" t="n">
        <f aca="false">IF($A37&gt;external_curves!$B$2,ROM_hrs!E37,0)</f>
        <v>0</v>
      </c>
      <c r="N37" s="0" t="n">
        <f aca="false">IF($A37&gt;external_curves!$B$2,ROM_hrs!G37,0)</f>
        <v>0</v>
      </c>
      <c r="O37" s="0" t="n">
        <f aca="false">IF($A37&gt;external_curves!$B$2,ROM_hrs!I37,0)</f>
        <v>0</v>
      </c>
      <c r="P37" s="0" t="n">
        <f aca="false">IF($A37&gt;external_curves!$B$2,#REF!,0)</f>
        <v>0</v>
      </c>
      <c r="R37" s="0" t="n">
        <f aca="false">IF(N37=0,0,(N37-3)*Trades!$G$10)</f>
        <v>0</v>
      </c>
      <c r="S37" s="0" t="n">
        <f aca="false">Trades!$Q$10*(SUM(N37:P37))</f>
        <v>0</v>
      </c>
      <c r="T37" s="0" t="n">
        <f aca="false">(Trades!$AC$10)*(SUM(N37:P37))</f>
        <v>-0</v>
      </c>
      <c r="U37" s="0" t="n">
        <f aca="false">IF(OR(B37=1,B37=7),0,IF(N37=0,0,(Trades!$U$10)*(N37-3)))</f>
        <v>0</v>
      </c>
      <c r="V37" s="0" t="n">
        <f aca="false">IF(OR(ROM_hrs!B37=1,ROM_hrs!B37=7),Trades!$U$10*(P37),IF(O37+P37=0,0,(Trades!$U$10*(ROM_hrs!O37+3))))</f>
        <v>0</v>
      </c>
      <c r="X37" s="54" t="n">
        <f aca="false">Trades!$H$10</f>
        <v>36.63</v>
      </c>
      <c r="Y37" s="54" t="n">
        <f aca="false">Trades!$R$10</f>
        <v>34.5</v>
      </c>
      <c r="Z37" s="54" t="n">
        <f aca="false">AVERAGE(Trades!$AD$10)</f>
        <v>44.5</v>
      </c>
      <c r="AA37" s="54" t="n">
        <f aca="false">Trades!$V$10</f>
        <v>47</v>
      </c>
      <c r="AB37" s="54" t="n">
        <f aca="false">Trades!$V$10</f>
        <v>47</v>
      </c>
      <c r="AD37" s="139" t="n">
        <f aca="false">Trades!$Q$47</f>
        <v>54.85</v>
      </c>
      <c r="AE37" s="139" t="n">
        <f aca="false">Trades!$P$47</f>
        <v>48.9664377883506</v>
      </c>
      <c r="AF37" s="139" t="n">
        <f aca="false">Trades!$S$47</f>
        <v>42</v>
      </c>
      <c r="AH37" s="139" t="n">
        <f aca="false">R37*(AD37-X37)</f>
        <v>0</v>
      </c>
      <c r="AI37" s="139" t="n">
        <f aca="false">(S37*(AE37-Y37))</f>
        <v>0</v>
      </c>
      <c r="AJ37" s="139" t="n">
        <f aca="false">(T37*(AE37-Z37))</f>
        <v>-0</v>
      </c>
      <c r="AK37" s="139" t="n">
        <f aca="false">U37*(AD37-AA37)</f>
        <v>0</v>
      </c>
      <c r="AL37" s="139" t="n">
        <f aca="false">V37*(AF37-AB37)</f>
        <v>-0</v>
      </c>
    </row>
    <row r="38" customFormat="false" ht="12.75" hidden="false" customHeight="false" outlineLevel="0" collapsed="false">
      <c r="A38" s="61"/>
      <c r="B38" s="144"/>
      <c r="X38" s="54"/>
      <c r="Y38" s="54"/>
      <c r="Z38" s="54"/>
      <c r="AA38" s="54"/>
      <c r="AB38" s="54"/>
      <c r="AD38" s="139"/>
      <c r="AE38" s="139"/>
      <c r="AF38" s="139"/>
      <c r="AH38" s="139"/>
      <c r="AI38" s="139"/>
      <c r="AJ38" s="139"/>
      <c r="AK38" s="139"/>
      <c r="AL38" s="139"/>
    </row>
    <row r="39" customFormat="false" ht="12.75" hidden="false" customHeight="false" outlineLevel="0" collapsed="false">
      <c r="T39" s="0" t="n">
        <f aca="false">(Trades!$AC$10)*(SUM(N39:P39))</f>
        <v>-0</v>
      </c>
    </row>
    <row r="42" customFormat="false" ht="12.75" hidden="false" customHeight="false" outlineLevel="0" collapsed="false">
      <c r="AF42" s="0" t="s">
        <v>182</v>
      </c>
      <c r="AG42" s="139" t="n">
        <f aca="false">SUM(AH8:AL38)</f>
        <v>0</v>
      </c>
    </row>
  </sheetData>
  <mergeCells count="2">
    <mergeCell ref="D3:E3"/>
    <mergeCell ref="G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D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5.28"/>
    <col collapsed="false" customWidth="true" hidden="false" outlineLevel="0" max="6" min="3" style="0" width="16.84"/>
    <col collapsed="false" customWidth="true" hidden="false" outlineLevel="0" max="30" min="7" style="0" width="11.7"/>
  </cols>
  <sheetData>
    <row r="3" customFormat="false" ht="12.75" hidden="false" customHeight="false" outlineLevel="0" collapsed="false">
      <c r="A3" s="145" t="s">
        <v>183</v>
      </c>
    </row>
    <row r="5" customFormat="false" ht="12.75" hidden="false" customHeight="false" outlineLevel="0" collapsed="false">
      <c r="A5" s="146" t="s">
        <v>86</v>
      </c>
      <c r="B5" s="147" t="s">
        <v>184</v>
      </c>
      <c r="C5" s="147" t="s">
        <v>185</v>
      </c>
      <c r="D5" s="147" t="s">
        <v>186</v>
      </c>
      <c r="E5" s="147" t="s">
        <v>187</v>
      </c>
      <c r="F5" s="147" t="s">
        <v>188</v>
      </c>
      <c r="G5" s="3" t="s">
        <v>189</v>
      </c>
      <c r="H5" s="3" t="s">
        <v>190</v>
      </c>
      <c r="I5" s="3" t="s">
        <v>191</v>
      </c>
      <c r="J5" s="3" t="s">
        <v>192</v>
      </c>
      <c r="K5" s="3" t="s">
        <v>193</v>
      </c>
      <c r="L5" s="3" t="s">
        <v>194</v>
      </c>
      <c r="M5" s="3" t="s">
        <v>195</v>
      </c>
      <c r="N5" s="3" t="s">
        <v>196</v>
      </c>
      <c r="O5" s="3" t="s">
        <v>197</v>
      </c>
      <c r="P5" s="3" t="s">
        <v>198</v>
      </c>
      <c r="Q5" s="3" t="s">
        <v>199</v>
      </c>
      <c r="R5" s="3" t="s">
        <v>200</v>
      </c>
      <c r="S5" s="3" t="s">
        <v>201</v>
      </c>
      <c r="T5" s="3" t="s">
        <v>202</v>
      </c>
      <c r="U5" s="3" t="s">
        <v>203</v>
      </c>
      <c r="V5" s="3" t="s">
        <v>204</v>
      </c>
      <c r="W5" s="3" t="s">
        <v>205</v>
      </c>
      <c r="X5" s="3" t="s">
        <v>206</v>
      </c>
      <c r="Y5" s="3" t="s">
        <v>207</v>
      </c>
      <c r="Z5" s="3" t="s">
        <v>208</v>
      </c>
      <c r="AA5" s="3" t="s">
        <v>209</v>
      </c>
      <c r="AB5" s="3" t="s">
        <v>210</v>
      </c>
      <c r="AC5" s="3" t="s">
        <v>211</v>
      </c>
      <c r="AD5" s="3" t="s">
        <v>212</v>
      </c>
    </row>
    <row r="6" customFormat="false" ht="12.75" hidden="false" customHeight="false" outlineLevel="0" collapsed="false">
      <c r="A6" s="148" t="n">
        <f aca="false">'Alberta Curve'!D40</f>
        <v>36707</v>
      </c>
      <c r="B6" s="54" t="n">
        <f aca="false">'Alberta Curve'!F40</f>
        <v>58.75</v>
      </c>
      <c r="C6" s="54" t="n">
        <f aca="false">'Alberta Curve'!J40</f>
        <v>35</v>
      </c>
      <c r="D6" s="54" t="n">
        <f aca="false">AVERAGE(N6:Z6)</f>
        <v>62.2927673689521</v>
      </c>
      <c r="E6" s="54" t="n">
        <f aca="false">AVERAGE(G6:AD6)</f>
        <v>50.8333333333333</v>
      </c>
      <c r="F6" s="54" t="n">
        <f aca="false">AVERAGE(AA6:AC6)</f>
        <v>43.3980080678743</v>
      </c>
      <c r="G6" s="149" t="n">
        <f aca="false">C6</f>
        <v>35</v>
      </c>
      <c r="H6" s="149" t="n">
        <f aca="false">G6</f>
        <v>35</v>
      </c>
      <c r="I6" s="149" t="n">
        <f aca="false">H6</f>
        <v>35</v>
      </c>
      <c r="J6" s="149" t="n">
        <f aca="false">I6</f>
        <v>35</v>
      </c>
      <c r="K6" s="149" t="n">
        <f aca="false">J6</f>
        <v>35</v>
      </c>
      <c r="L6" s="149" t="n">
        <f aca="false">K6</f>
        <v>35</v>
      </c>
      <c r="M6" s="149" t="n">
        <f aca="false">L6</f>
        <v>35</v>
      </c>
      <c r="N6" s="149" t="n">
        <f aca="false">$B6*'Alberta Curve'!AI15</f>
        <v>36.4046322682543</v>
      </c>
      <c r="O6" s="149" t="n">
        <f aca="false">$B6*'Alberta Curve'!AJ15</f>
        <v>44.7395476966305</v>
      </c>
      <c r="P6" s="149" t="n">
        <f aca="false">$B6*'Alberta Curve'!AK15</f>
        <v>54.1713479110821</v>
      </c>
      <c r="Q6" s="149" t="n">
        <f aca="false">$B6*'Alberta Curve'!AL15</f>
        <v>62.7787102831867</v>
      </c>
      <c r="R6" s="149" t="n">
        <f aca="false">$B6*'Alberta Curve'!AM15</f>
        <v>72.9205610892582</v>
      </c>
      <c r="S6" s="149" t="n">
        <f aca="false">$B6*'Alberta Curve'!AN15</f>
        <v>80.8057997650217</v>
      </c>
      <c r="T6" s="149" t="n">
        <f aca="false">$B6*'Alberta Curve'!AO15</f>
        <v>70.9059995201613</v>
      </c>
      <c r="U6" s="149" t="n">
        <f aca="false">$B6*'Alberta Curve'!AP15</f>
        <v>71.6468753620307</v>
      </c>
      <c r="V6" s="149" t="n">
        <f aca="false">$B6*'Alberta Curve'!AQ15</f>
        <v>77.0130681623346</v>
      </c>
      <c r="W6" s="149" t="n">
        <f aca="false">$B6*'Alberta Curve'!AR15</f>
        <v>75.4192431773883</v>
      </c>
      <c r="X6" s="149" t="n">
        <f aca="false">$B6*'Alberta Curve'!AS15</f>
        <v>66.1748017662235</v>
      </c>
      <c r="Y6" s="149" t="n">
        <f aca="false">$B6*'Alberta Curve'!AT15</f>
        <v>50.6748136907953</v>
      </c>
      <c r="Z6" s="149" t="n">
        <f aca="false">$B6*'Alberta Curve'!AU15</f>
        <v>46.1505751040101</v>
      </c>
      <c r="AA6" s="149" t="n">
        <f aca="false">$B6*'Alberta Curve'!AV15</f>
        <v>44.0719137067831</v>
      </c>
      <c r="AB6" s="149" t="n">
        <f aca="false">$B6*'Alberta Curve'!AW15</f>
        <v>43.5395187221262</v>
      </c>
      <c r="AC6" s="149" t="n">
        <f aca="false">$B6*'Alberta Curve'!AX15</f>
        <v>42.5825917747135</v>
      </c>
      <c r="AD6" s="149" t="n">
        <f aca="false">C6</f>
        <v>35</v>
      </c>
    </row>
    <row r="7" customFormat="false" ht="12.75" hidden="false" customHeight="false" outlineLevel="0" collapsed="false">
      <c r="A7" s="148" t="n">
        <f aca="false">'Alberta Curve'!D41</f>
        <v>36737</v>
      </c>
      <c r="B7" s="54" t="n">
        <f aca="false">'Alberta Curve'!F41</f>
        <v>59.5</v>
      </c>
      <c r="C7" s="54" t="n">
        <f aca="false">'Alberta Curve'!J41</f>
        <v>35</v>
      </c>
      <c r="D7" s="54" t="n">
        <f aca="false">AVERAGE(N7:Z7)</f>
        <v>62.0506838658407</v>
      </c>
      <c r="E7" s="54" t="n">
        <f aca="false">AVERAGE(G7:AD7)</f>
        <v>51.3333333333333</v>
      </c>
      <c r="F7" s="54" t="n">
        <f aca="false">AVERAGE(AA7:AC7)</f>
        <v>48.4470365813571</v>
      </c>
      <c r="G7" s="149" t="n">
        <f aca="false">C7</f>
        <v>35</v>
      </c>
      <c r="H7" s="149" t="n">
        <f aca="false">G7</f>
        <v>35</v>
      </c>
      <c r="I7" s="149" t="n">
        <f aca="false">H7</f>
        <v>35</v>
      </c>
      <c r="J7" s="149" t="n">
        <f aca="false">I7</f>
        <v>35</v>
      </c>
      <c r="K7" s="149" t="n">
        <f aca="false">J7</f>
        <v>35</v>
      </c>
      <c r="L7" s="149" t="n">
        <f aca="false">K7</f>
        <v>35</v>
      </c>
      <c r="M7" s="149" t="n">
        <f aca="false">L7</f>
        <v>35</v>
      </c>
      <c r="N7" s="149" t="n">
        <f aca="false">$B7*'Alberta Curve'!AI16</f>
        <v>39.0310905410716</v>
      </c>
      <c r="O7" s="149" t="n">
        <f aca="false">$B7*'Alberta Curve'!AJ16</f>
        <v>47.1918738293334</v>
      </c>
      <c r="P7" s="149" t="n">
        <f aca="false">$B7*'Alberta Curve'!AK16</f>
        <v>53.4957396602787</v>
      </c>
      <c r="Q7" s="149" t="n">
        <f aca="false">$B7*'Alberta Curve'!AL16</f>
        <v>60.8365633469675</v>
      </c>
      <c r="R7" s="149" t="n">
        <f aca="false">$B7*'Alberta Curve'!AM16</f>
        <v>72.192215641581</v>
      </c>
      <c r="S7" s="149" t="n">
        <f aca="false">$B7*'Alberta Curve'!AN16</f>
        <v>80.2500277661332</v>
      </c>
      <c r="T7" s="149" t="n">
        <f aca="false">$B7*'Alberta Curve'!AO16</f>
        <v>67.9889779204773</v>
      </c>
      <c r="U7" s="149" t="n">
        <f aca="false">$B7*'Alberta Curve'!AP16</f>
        <v>68.5923116746723</v>
      </c>
      <c r="V7" s="149" t="n">
        <f aca="false">$B7*'Alberta Curve'!AQ16</f>
        <v>66.3349513802317</v>
      </c>
      <c r="W7" s="149" t="n">
        <f aca="false">$B7*'Alberta Curve'!AR16</f>
        <v>82.1716466152642</v>
      </c>
      <c r="X7" s="149" t="n">
        <f aca="false">$B7*'Alberta Curve'!AS16</f>
        <v>61.8027573967656</v>
      </c>
      <c r="Y7" s="149" t="n">
        <f aca="false">$B7*'Alberta Curve'!AT16</f>
        <v>55.2231791568128</v>
      </c>
      <c r="Z7" s="149" t="n">
        <f aca="false">$B7*'Alberta Curve'!AU16</f>
        <v>51.5475553263396</v>
      </c>
      <c r="AA7" s="149" t="n">
        <f aca="false">$B7*'Alberta Curve'!AV16</f>
        <v>49.2202514966817</v>
      </c>
      <c r="AB7" s="149" t="n">
        <f aca="false">$B7*'Alberta Curve'!AW16</f>
        <v>47.9801413142171</v>
      </c>
      <c r="AC7" s="149" t="n">
        <f aca="false">$B7*'Alberta Curve'!AX16</f>
        <v>48.1407169331726</v>
      </c>
      <c r="AD7" s="149" t="n">
        <f aca="false">C7</f>
        <v>35</v>
      </c>
    </row>
    <row r="8" customFormat="false" ht="12.75" hidden="false" customHeight="false" outlineLevel="0" collapsed="false">
      <c r="A8" s="148" t="n">
        <f aca="false">'Alberta Curve'!D42</f>
        <v>36768</v>
      </c>
      <c r="B8" s="54" t="n">
        <f aca="false">'Alberta Curve'!F42</f>
        <v>66</v>
      </c>
      <c r="C8" s="54" t="n">
        <f aca="false">'Alberta Curve'!J42</f>
        <v>32</v>
      </c>
      <c r="D8" s="54" t="n">
        <f aca="false">AVERAGE(N8:Z8)</f>
        <v>69.9757809268278</v>
      </c>
      <c r="E8" s="54" t="n">
        <f aca="false">AVERAGE(G8:AD8)</f>
        <v>54.6666666666667</v>
      </c>
      <c r="F8" s="54" t="n">
        <f aca="false">AVERAGE(AA8:AC8)</f>
        <v>48.7716159837461</v>
      </c>
      <c r="G8" s="149" t="n">
        <f aca="false">C8</f>
        <v>32</v>
      </c>
      <c r="H8" s="149" t="n">
        <f aca="false">G8</f>
        <v>32</v>
      </c>
      <c r="I8" s="149" t="n">
        <f aca="false">H8</f>
        <v>32</v>
      </c>
      <c r="J8" s="149" t="n">
        <f aca="false">I8</f>
        <v>32</v>
      </c>
      <c r="K8" s="149" t="n">
        <f aca="false">J8</f>
        <v>32</v>
      </c>
      <c r="L8" s="149" t="n">
        <f aca="false">K8</f>
        <v>32</v>
      </c>
      <c r="M8" s="149" t="n">
        <f aca="false">L8</f>
        <v>32</v>
      </c>
      <c r="N8" s="149" t="n">
        <f aca="false">$B8*'Alberta Curve'!AI17</f>
        <v>37.5324767574626</v>
      </c>
      <c r="O8" s="149" t="n">
        <f aca="false">$B8*'Alberta Curve'!AJ17</f>
        <v>42.8213366074252</v>
      </c>
      <c r="P8" s="149" t="n">
        <f aca="false">$B8*'Alberta Curve'!AK17</f>
        <v>50.9758698883889</v>
      </c>
      <c r="Q8" s="149" t="n">
        <f aca="false">$B8*'Alberta Curve'!AL17</f>
        <v>60.705024077259</v>
      </c>
      <c r="R8" s="149" t="n">
        <f aca="false">$B8*'Alberta Curve'!AM17</f>
        <v>73.3003101850501</v>
      </c>
      <c r="S8" s="149" t="n">
        <f aca="false">$B8*'Alberta Curve'!AN17</f>
        <v>89.0387484487843</v>
      </c>
      <c r="T8" s="149" t="n">
        <f aca="false">$B8*'Alberta Curve'!AO17</f>
        <v>89.0286941822303</v>
      </c>
      <c r="U8" s="149" t="n">
        <f aca="false">$B8*'Alberta Curve'!AP17</f>
        <v>87.5510758741276</v>
      </c>
      <c r="V8" s="149" t="n">
        <f aca="false">$B8*'Alberta Curve'!AQ17</f>
        <v>90.1649142798339</v>
      </c>
      <c r="W8" s="149" t="n">
        <f aca="false">$B8*'Alberta Curve'!AR17</f>
        <v>90.5080514399473</v>
      </c>
      <c r="X8" s="149" t="n">
        <f aca="false">$B8*'Alberta Curve'!AS17</f>
        <v>92.5133578429491</v>
      </c>
      <c r="Y8" s="149" t="n">
        <f aca="false">$B8*'Alberta Curve'!AT17</f>
        <v>56.2006388139015</v>
      </c>
      <c r="Z8" s="149" t="n">
        <f aca="false">$B8*'Alberta Curve'!AU17</f>
        <v>49.3446536514019</v>
      </c>
      <c r="AA8" s="149" t="n">
        <f aca="false">$B8*'Alberta Curve'!AV17</f>
        <v>48.5646199830057</v>
      </c>
      <c r="AB8" s="149" t="n">
        <f aca="false">$B8*'Alberta Curve'!AW17</f>
        <v>51.4883226670277</v>
      </c>
      <c r="AC8" s="149" t="n">
        <f aca="false">$B8*'Alberta Curve'!AX17</f>
        <v>46.261905301205</v>
      </c>
      <c r="AD8" s="149" t="n">
        <f aca="false">C8</f>
        <v>32</v>
      </c>
    </row>
    <row r="9" customFormat="false" ht="12.75" hidden="false" customHeight="false" outlineLevel="0" collapsed="false">
      <c r="A9" s="148" t="n">
        <f aca="false">'Alberta Curve'!D43</f>
        <v>36799</v>
      </c>
      <c r="B9" s="54" t="n">
        <f aca="false">'Alberta Curve'!F43</f>
        <v>65</v>
      </c>
      <c r="C9" s="54" t="n">
        <f aca="false">'Alberta Curve'!J43</f>
        <v>32</v>
      </c>
      <c r="D9" s="54" t="n">
        <f aca="false">AVERAGE(N9:Z9)</f>
        <v>66.3448330662225</v>
      </c>
      <c r="E9" s="54" t="n">
        <f aca="false">AVERAGE(G9:AD9)</f>
        <v>54</v>
      </c>
      <c r="F9" s="54" t="n">
        <f aca="false">AVERAGE(AA9:AC9)</f>
        <v>59.1723900463691</v>
      </c>
      <c r="G9" s="149" t="n">
        <f aca="false">C9</f>
        <v>32</v>
      </c>
      <c r="H9" s="149" t="n">
        <f aca="false">G9</f>
        <v>32</v>
      </c>
      <c r="I9" s="149" t="n">
        <f aca="false">H9</f>
        <v>32</v>
      </c>
      <c r="J9" s="149" t="n">
        <f aca="false">I9</f>
        <v>32</v>
      </c>
      <c r="K9" s="149" t="n">
        <f aca="false">J9</f>
        <v>32</v>
      </c>
      <c r="L9" s="149" t="n">
        <f aca="false">K9</f>
        <v>32</v>
      </c>
      <c r="M9" s="149" t="n">
        <f aca="false">L9</f>
        <v>32</v>
      </c>
      <c r="N9" s="149" t="n">
        <f aca="false">$B9*'Alberta Curve'!AI18</f>
        <v>47.7467650079054</v>
      </c>
      <c r="O9" s="149" t="n">
        <f aca="false">$B9*'Alberta Curve'!AJ18</f>
        <v>52.1469972628056</v>
      </c>
      <c r="P9" s="149" t="n">
        <f aca="false">$B9*'Alberta Curve'!AK18</f>
        <v>58.4921250997611</v>
      </c>
      <c r="Q9" s="149" t="n">
        <f aca="false">$B9*'Alberta Curve'!AL18</f>
        <v>62.5196361119314</v>
      </c>
      <c r="R9" s="149" t="n">
        <f aca="false">$B9*'Alberta Curve'!AM18</f>
        <v>65.3169573509035</v>
      </c>
      <c r="S9" s="149" t="n">
        <f aca="false">$B9*'Alberta Curve'!AN18</f>
        <v>83.2947928216899</v>
      </c>
      <c r="T9" s="149" t="n">
        <f aca="false">$B9*'Alberta Curve'!AO18</f>
        <v>77.5901516096806</v>
      </c>
      <c r="U9" s="149" t="n">
        <f aca="false">$B9*'Alberta Curve'!AP18</f>
        <v>77.4672106471801</v>
      </c>
      <c r="V9" s="149" t="n">
        <f aca="false">$B9*'Alberta Curve'!AQ18</f>
        <v>81.253495173615</v>
      </c>
      <c r="W9" s="149" t="n">
        <f aca="false">$B9*'Alberta Curve'!AR18</f>
        <v>72.4375343739474</v>
      </c>
      <c r="X9" s="149" t="n">
        <f aca="false">$B9*'Alberta Curve'!AS18</f>
        <v>66.8844630442371</v>
      </c>
      <c r="Y9" s="149" t="n">
        <f aca="false">$B9*'Alberta Curve'!AT18</f>
        <v>59.2336307638248</v>
      </c>
      <c r="Z9" s="149" t="n">
        <f aca="false">$B9*'Alberta Curve'!AU18</f>
        <v>58.099070593411</v>
      </c>
      <c r="AA9" s="149" t="n">
        <f aca="false">$B9*'Alberta Curve'!AV18</f>
        <v>67.0524233161433</v>
      </c>
      <c r="AB9" s="149" t="n">
        <f aca="false">$B9*'Alberta Curve'!AW18</f>
        <v>60.1659327608348</v>
      </c>
      <c r="AC9" s="149" t="n">
        <f aca="false">$B9*'Alberta Curve'!AX18</f>
        <v>50.2988140621292</v>
      </c>
      <c r="AD9" s="149" t="n">
        <f aca="false">C9</f>
        <v>32</v>
      </c>
    </row>
    <row r="10" customFormat="false" ht="12.75" hidden="false" customHeight="false" outlineLevel="0" collapsed="false">
      <c r="A10" s="148" t="n">
        <f aca="false">'Alberta Curve'!D44</f>
        <v>36829</v>
      </c>
      <c r="B10" s="54" t="n">
        <f aca="false">'Alberta Curve'!F44</f>
        <v>74</v>
      </c>
      <c r="C10" s="54" t="n">
        <f aca="false">'Alberta Curve'!J44</f>
        <v>33</v>
      </c>
      <c r="D10" s="54" t="n">
        <f aca="false">AVERAGE(N10:Z10)</f>
        <v>74.9683828814566</v>
      </c>
      <c r="E10" s="54" t="n">
        <f aca="false">AVERAGE(G10:AD10)</f>
        <v>60.3333333333333</v>
      </c>
      <c r="F10" s="54" t="n">
        <f aca="false">AVERAGE(AA10:AC10)</f>
        <v>69.8036741803546</v>
      </c>
      <c r="G10" s="149" t="n">
        <f aca="false">C10</f>
        <v>33</v>
      </c>
      <c r="H10" s="149" t="n">
        <f aca="false">G10</f>
        <v>33</v>
      </c>
      <c r="I10" s="149" t="n">
        <f aca="false">H10</f>
        <v>33</v>
      </c>
      <c r="J10" s="149" t="n">
        <f aca="false">I10</f>
        <v>33</v>
      </c>
      <c r="K10" s="149" t="n">
        <f aca="false">J10</f>
        <v>33</v>
      </c>
      <c r="L10" s="149" t="n">
        <f aca="false">K10</f>
        <v>33</v>
      </c>
      <c r="M10" s="149" t="n">
        <f aca="false">L10</f>
        <v>33</v>
      </c>
      <c r="N10" s="149" t="n">
        <f aca="false">$B10*'Alberta Curve'!AI19</f>
        <v>58.699943614984</v>
      </c>
      <c r="O10" s="149" t="n">
        <f aca="false">$B10*'Alberta Curve'!AJ19</f>
        <v>66.2704756120745</v>
      </c>
      <c r="P10" s="149" t="n">
        <f aca="false">$B10*'Alberta Curve'!AK19</f>
        <v>66.3995441343765</v>
      </c>
      <c r="Q10" s="149" t="n">
        <f aca="false">$B10*'Alberta Curve'!AL19</f>
        <v>71.1595810309008</v>
      </c>
      <c r="R10" s="149" t="n">
        <f aca="false">$B10*'Alberta Curve'!AM19</f>
        <v>79.6527842781008</v>
      </c>
      <c r="S10" s="149" t="n">
        <f aca="false">$B10*'Alberta Curve'!AN19</f>
        <v>76.7358163986418</v>
      </c>
      <c r="T10" s="149" t="n">
        <f aca="false">$B10*'Alberta Curve'!AO19</f>
        <v>72.692095508589</v>
      </c>
      <c r="U10" s="149" t="n">
        <f aca="false">$B10*'Alberta Curve'!AP19</f>
        <v>74.2749535547798</v>
      </c>
      <c r="V10" s="149" t="n">
        <f aca="false">$B10*'Alberta Curve'!AQ19</f>
        <v>71.3519476858404</v>
      </c>
      <c r="W10" s="149" t="n">
        <f aca="false">$B10*'Alberta Curve'!AR19</f>
        <v>79.1908191286089</v>
      </c>
      <c r="X10" s="149" t="n">
        <f aca="false">$B10*'Alberta Curve'!AS19</f>
        <v>89.3127945280631</v>
      </c>
      <c r="Y10" s="149" t="n">
        <f aca="false">$B10*'Alberta Curve'!AT19</f>
        <v>81.6818256619472</v>
      </c>
      <c r="Z10" s="149" t="n">
        <f aca="false">$B10*'Alberta Curve'!AU19</f>
        <v>87.1663963220295</v>
      </c>
      <c r="AA10" s="149" t="n">
        <f aca="false">$B10*'Alberta Curve'!AV19</f>
        <v>84.2046385150734</v>
      </c>
      <c r="AB10" s="149" t="n">
        <f aca="false">$B10*'Alberta Curve'!AW19</f>
        <v>71.0147470582757</v>
      </c>
      <c r="AC10" s="149" t="n">
        <f aca="false">$B10*'Alberta Curve'!AX19</f>
        <v>54.1916369677146</v>
      </c>
      <c r="AD10" s="149" t="n">
        <f aca="false">C10</f>
        <v>33</v>
      </c>
    </row>
    <row r="11" customFormat="false" ht="12.75" hidden="false" customHeight="false" outlineLevel="0" collapsed="false">
      <c r="A11" s="148" t="n">
        <f aca="false">'Alberta Curve'!D45</f>
        <v>36860</v>
      </c>
      <c r="B11" s="54" t="n">
        <f aca="false">'Alberta Curve'!F45</f>
        <v>57.5</v>
      </c>
      <c r="C11" s="54" t="n">
        <f aca="false">'Alberta Curve'!J45</f>
        <v>28.75</v>
      </c>
      <c r="D11" s="54" t="n">
        <f aca="false">AVERAGE(N11:Z11)</f>
        <v>58.2093631185309</v>
      </c>
      <c r="E11" s="54" t="n">
        <f aca="false">AVERAGE(G11:AD11)</f>
        <v>47.9166666666667</v>
      </c>
      <c r="F11" s="54" t="n">
        <f aca="false">AVERAGE(AA11:AC11)</f>
        <v>54.4260931530329</v>
      </c>
      <c r="G11" s="149" t="n">
        <f aca="false">C11</f>
        <v>28.75</v>
      </c>
      <c r="H11" s="149" t="n">
        <f aca="false">G11</f>
        <v>28.75</v>
      </c>
      <c r="I11" s="149" t="n">
        <f aca="false">H11</f>
        <v>28.75</v>
      </c>
      <c r="J11" s="149" t="n">
        <f aca="false">I11</f>
        <v>28.75</v>
      </c>
      <c r="K11" s="149" t="n">
        <f aca="false">J11</f>
        <v>28.75</v>
      </c>
      <c r="L11" s="149" t="n">
        <f aca="false">K11</f>
        <v>28.75</v>
      </c>
      <c r="M11" s="149" t="n">
        <f aca="false">L11</f>
        <v>28.75</v>
      </c>
      <c r="N11" s="149" t="n">
        <f aca="false">$B11*'Alberta Curve'!AI20</f>
        <v>50.8622640856618</v>
      </c>
      <c r="O11" s="149" t="n">
        <f aca="false">$B11*'Alberta Curve'!AJ20</f>
        <v>54.9829076480015</v>
      </c>
      <c r="P11" s="149" t="n">
        <f aca="false">$B11*'Alberta Curve'!AK20</f>
        <v>56.0716063387854</v>
      </c>
      <c r="Q11" s="149" t="n">
        <f aca="false">$B11*'Alberta Curve'!AL20</f>
        <v>56.8164227300325</v>
      </c>
      <c r="R11" s="149" t="n">
        <f aca="false">$B11*'Alberta Curve'!AM20</f>
        <v>57.3118829903095</v>
      </c>
      <c r="S11" s="149" t="n">
        <f aca="false">$B11*'Alberta Curve'!AN20</f>
        <v>56.4938283987292</v>
      </c>
      <c r="T11" s="149" t="n">
        <f aca="false">$B11*'Alberta Curve'!AO20</f>
        <v>54.9579692368042</v>
      </c>
      <c r="U11" s="149" t="n">
        <f aca="false">$B11*'Alberta Curve'!AP20</f>
        <v>54.5185467824085</v>
      </c>
      <c r="V11" s="149" t="n">
        <f aca="false">$B11*'Alberta Curve'!AQ20</f>
        <v>55.2812123818069</v>
      </c>
      <c r="W11" s="149" t="n">
        <f aca="false">$B11*'Alberta Curve'!AR20</f>
        <v>62.1012739859402</v>
      </c>
      <c r="X11" s="149" t="n">
        <f aca="false">$B11*'Alberta Curve'!AS20</f>
        <v>73.680060287447</v>
      </c>
      <c r="Y11" s="149" t="n">
        <f aca="false">$B11*'Alberta Curve'!AT20</f>
        <v>63.7758826637244</v>
      </c>
      <c r="Z11" s="149" t="n">
        <f aca="false">$B11*'Alberta Curve'!AU20</f>
        <v>59.86786301125</v>
      </c>
      <c r="AA11" s="149" t="n">
        <f aca="false">$B11*'Alberta Curve'!AV20</f>
        <v>58.0080531954505</v>
      </c>
      <c r="AB11" s="149" t="n">
        <f aca="false">$B11*'Alberta Curve'!AW20</f>
        <v>55.7004478845167</v>
      </c>
      <c r="AC11" s="149" t="n">
        <f aca="false">$B11*'Alberta Curve'!AX20</f>
        <v>49.5697783791317</v>
      </c>
      <c r="AD11" s="149" t="n">
        <f aca="false">C11</f>
        <v>28.75</v>
      </c>
    </row>
    <row r="12" customFormat="false" ht="12.75" hidden="false" customHeight="false" outlineLevel="0" collapsed="false">
      <c r="A12" s="148" t="n">
        <f aca="false">'Alberta Curve'!D46</f>
        <v>36890</v>
      </c>
      <c r="B12" s="54" t="n">
        <f aca="false">'Alberta Curve'!F46</f>
        <v>60.75</v>
      </c>
      <c r="C12" s="54" t="n">
        <f aca="false">'Alberta Curve'!J46</f>
        <v>28.75</v>
      </c>
      <c r="D12" s="54" t="n">
        <f aca="false">AVERAGE(N12:Z12)</f>
        <v>61.2570221972349</v>
      </c>
      <c r="E12" s="54" t="n">
        <f aca="false">AVERAGE(G12:AD12)</f>
        <v>50.2564606855426</v>
      </c>
      <c r="F12" s="54" t="n">
        <f aca="false">AVERAGE(AA12:AC12)</f>
        <v>59.9379226296558</v>
      </c>
      <c r="G12" s="149" t="n">
        <f aca="false">C12</f>
        <v>28.75</v>
      </c>
      <c r="H12" s="149" t="n">
        <f aca="false">G12</f>
        <v>28.75</v>
      </c>
      <c r="I12" s="149" t="n">
        <f aca="false">H12</f>
        <v>28.75</v>
      </c>
      <c r="J12" s="149" t="n">
        <f aca="false">I12</f>
        <v>28.75</v>
      </c>
      <c r="K12" s="149" t="n">
        <f aca="false">J12</f>
        <v>28.75</v>
      </c>
      <c r="L12" s="149" t="n">
        <f aca="false">K12</f>
        <v>28.75</v>
      </c>
      <c r="M12" s="149" t="n">
        <f aca="false">L12</f>
        <v>28.75</v>
      </c>
      <c r="N12" s="149" t="n">
        <f aca="false">$B12*'Alberta Curve'!AI21</f>
        <v>47.0460285203749</v>
      </c>
      <c r="O12" s="149" t="n">
        <f aca="false">$B12*'Alberta Curve'!AJ21</f>
        <v>52.7383148826578</v>
      </c>
      <c r="P12" s="149" t="n">
        <f aca="false">$B12*'Alberta Curve'!AK21</f>
        <v>52.4186273999923</v>
      </c>
      <c r="Q12" s="149" t="n">
        <f aca="false">$B12*'Alberta Curve'!AL21</f>
        <v>55.1833718496806</v>
      </c>
      <c r="R12" s="149" t="n">
        <f aca="false">$B12*'Alberta Curve'!AM21</f>
        <v>52.4260401035617</v>
      </c>
      <c r="S12" s="149" t="n">
        <f aca="false">$B12*'Alberta Curve'!AN21</f>
        <v>51.4860287540241</v>
      </c>
      <c r="T12" s="149" t="n">
        <f aca="false">$B12*'Alberta Curve'!AO21</f>
        <v>50.8081699460471</v>
      </c>
      <c r="U12" s="149" t="n">
        <f aca="false">$B12*'Alberta Curve'!AP21</f>
        <v>49.530864091449</v>
      </c>
      <c r="V12" s="149" t="n">
        <f aca="false">$B12*'Alberta Curve'!AQ21</f>
        <v>49.8530386312523</v>
      </c>
      <c r="W12" s="149" t="n">
        <f aca="false">$B12*'Alberta Curve'!AR21</f>
        <v>70.6163447367559</v>
      </c>
      <c r="X12" s="149" t="n">
        <f aca="false">$B12*'Alberta Curve'!AS21</f>
        <v>98.5855642149633</v>
      </c>
      <c r="Y12" s="149" t="n">
        <f aca="false">$B12*'Alberta Curve'!AT21</f>
        <v>95.5819791546886</v>
      </c>
      <c r="Z12" s="149" t="n">
        <f aca="false">$B12*'Alberta Curve'!AU21</f>
        <v>70.0669162786067</v>
      </c>
      <c r="AA12" s="149" t="n">
        <f aca="false">$B12*'Alberta Curve'!AV21</f>
        <v>69.1364388415503</v>
      </c>
      <c r="AB12" s="149" t="n">
        <f aca="false">$B12*'Alberta Curve'!AW21</f>
        <v>61.2034452105111</v>
      </c>
      <c r="AC12" s="149" t="n">
        <f aca="false">$B12*'Alberta Curve'!AX21</f>
        <v>49.473883836906</v>
      </c>
      <c r="AD12" s="149" t="n">
        <f aca="false">C12</f>
        <v>28.75</v>
      </c>
    </row>
    <row r="13" customFormat="false" ht="12.75" hidden="false" customHeight="false" outlineLevel="0" collapsed="false">
      <c r="A13" s="148" t="n">
        <v>36921</v>
      </c>
      <c r="B13" s="54" t="n">
        <f aca="false">'Alberta Curve'!F47</f>
        <v>92.3562901316756</v>
      </c>
      <c r="C13" s="54" t="n">
        <f aca="false">'Alberta Curve'!J47</f>
        <v>33</v>
      </c>
      <c r="D13" s="54" t="n">
        <f aca="false">AVERAGE(N13:Z13)</f>
        <v>93.8679299756749</v>
      </c>
      <c r="E13" s="54" t="n">
        <f aca="false">AVERAGE(G13:AD13)</f>
        <v>72.5708600877837</v>
      </c>
      <c r="F13" s="54" t="n">
        <f aca="false">AVERAGE(AA13:AC13)</f>
        <v>85.8058508076788</v>
      </c>
      <c r="G13" s="149" t="n">
        <f aca="false">C13</f>
        <v>33</v>
      </c>
      <c r="H13" s="149" t="n">
        <f aca="false">G13</f>
        <v>33</v>
      </c>
      <c r="I13" s="149" t="n">
        <f aca="false">H13</f>
        <v>33</v>
      </c>
      <c r="J13" s="149" t="n">
        <f aca="false">I13</f>
        <v>33</v>
      </c>
      <c r="K13" s="149" t="n">
        <f aca="false">J13</f>
        <v>33</v>
      </c>
      <c r="L13" s="149" t="n">
        <f aca="false">K13</f>
        <v>33</v>
      </c>
      <c r="M13" s="149" t="n">
        <f aca="false">L13</f>
        <v>33</v>
      </c>
      <c r="N13" s="149" t="n">
        <f aca="false">$B13*'Alberta Curve'!AI10</f>
        <v>80.4382356419896</v>
      </c>
      <c r="O13" s="149" t="n">
        <f aca="false">$B13*'Alberta Curve'!AJ10</f>
        <v>88.7374419795357</v>
      </c>
      <c r="P13" s="149" t="n">
        <f aca="false">$B13*'Alberta Curve'!AK10</f>
        <v>84.6170512048527</v>
      </c>
      <c r="Q13" s="149" t="n">
        <f aca="false">$B13*'Alberta Curve'!AL10</f>
        <v>86.6008455187558</v>
      </c>
      <c r="R13" s="149" t="n">
        <f aca="false">$B13*'Alberta Curve'!AM10</f>
        <v>87.6753417152029</v>
      </c>
      <c r="S13" s="149" t="n">
        <f aca="false">$B13*'Alberta Curve'!AN10</f>
        <v>85.0033656143683</v>
      </c>
      <c r="T13" s="149" t="n">
        <f aca="false">$B13*'Alberta Curve'!AO10</f>
        <v>82.7979652462107</v>
      </c>
      <c r="U13" s="149" t="n">
        <f aca="false">$B13*'Alberta Curve'!AP10</f>
        <v>82.1859873646989</v>
      </c>
      <c r="V13" s="149" t="n">
        <f aca="false">$B13*'Alberta Curve'!AQ10</f>
        <v>83.8695971836917</v>
      </c>
      <c r="W13" s="149" t="n">
        <f aca="false">$B13*'Alberta Curve'!AR10</f>
        <v>97.173387548488</v>
      </c>
      <c r="X13" s="149" t="n">
        <f aca="false">$B13*'Alberta Curve'!AS10</f>
        <v>141.665172885173</v>
      </c>
      <c r="Y13" s="149" t="n">
        <f aca="false">$B13*'Alberta Curve'!AT10</f>
        <v>121.017454309002</v>
      </c>
      <c r="Z13" s="149" t="n">
        <f aca="false">$B13*'Alberta Curve'!AU10</f>
        <v>98.5012434718041</v>
      </c>
      <c r="AA13" s="149" t="n">
        <f aca="false">$B13*'Alberta Curve'!AV10</f>
        <v>94.0403876805886</v>
      </c>
      <c r="AB13" s="149" t="n">
        <f aca="false">$B13*'Alberta Curve'!AW10</f>
        <v>88.0002331805425</v>
      </c>
      <c r="AC13" s="149" t="n">
        <f aca="false">$B13*'Alberta Curve'!AX10</f>
        <v>75.3769315619054</v>
      </c>
      <c r="AD13" s="149" t="n">
        <f aca="false">C13</f>
        <v>33</v>
      </c>
    </row>
    <row r="14" customFormat="false" ht="12.75" hidden="false" customHeight="false" outlineLevel="0" collapsed="false">
      <c r="A14" s="148" t="n">
        <v>36950</v>
      </c>
      <c r="B14" s="54" t="n">
        <f aca="false">'Alberta Curve'!F48</f>
        <v>87.5266453197287</v>
      </c>
      <c r="C14" s="54" t="n">
        <f aca="false">'Alberta Curve'!J48</f>
        <v>30</v>
      </c>
      <c r="D14" s="54" t="n">
        <f aca="false">AVERAGE(N14:Z14)</f>
        <v>88.7117950039927</v>
      </c>
      <c r="E14" s="54" t="n">
        <f aca="false">AVERAGE(G14:AD14)</f>
        <v>68.3510968798191</v>
      </c>
      <c r="F14" s="54" t="n">
        <f aca="false">AVERAGE(AA14:AC14)</f>
        <v>82.390996687918</v>
      </c>
      <c r="G14" s="149" t="n">
        <f aca="false">C14</f>
        <v>30</v>
      </c>
      <c r="H14" s="149" t="n">
        <f aca="false">G14</f>
        <v>30</v>
      </c>
      <c r="I14" s="149" t="n">
        <f aca="false">H14</f>
        <v>30</v>
      </c>
      <c r="J14" s="149" t="n">
        <f aca="false">I14</f>
        <v>30</v>
      </c>
      <c r="K14" s="149" t="n">
        <f aca="false">J14</f>
        <v>30</v>
      </c>
      <c r="L14" s="149" t="n">
        <f aca="false">K14</f>
        <v>30</v>
      </c>
      <c r="M14" s="149" t="n">
        <f aca="false">L14</f>
        <v>30</v>
      </c>
      <c r="N14" s="149" t="n">
        <f aca="false">$B14*'Alberta Curve'!AI11</f>
        <v>77.7997283504191</v>
      </c>
      <c r="O14" s="149" t="n">
        <f aca="false">$B14*'Alberta Curve'!AJ11</f>
        <v>83.8658458596886</v>
      </c>
      <c r="P14" s="149" t="n">
        <f aca="false">$B14*'Alberta Curve'!AK11</f>
        <v>84.4448884158078</v>
      </c>
      <c r="Q14" s="149" t="n">
        <f aca="false">$B14*'Alberta Curve'!AL11</f>
        <v>85.4483153332154</v>
      </c>
      <c r="R14" s="149" t="n">
        <f aca="false">$B14*'Alberta Curve'!AM11</f>
        <v>86.2246578655914</v>
      </c>
      <c r="S14" s="149" t="n">
        <f aca="false">$B14*'Alberta Curve'!AN11</f>
        <v>85.8404264020442</v>
      </c>
      <c r="T14" s="149" t="n">
        <f aca="false">$B14*'Alberta Curve'!AO11</f>
        <v>84.9923477200237</v>
      </c>
      <c r="U14" s="149" t="n">
        <f aca="false">$B14*'Alberta Curve'!AP11</f>
        <v>80.9963673817752</v>
      </c>
      <c r="V14" s="149" t="n">
        <f aca="false">$B14*'Alberta Curve'!AQ11</f>
        <v>82.139101052297</v>
      </c>
      <c r="W14" s="149" t="n">
        <f aca="false">$B14*'Alberta Curve'!AR11</f>
        <v>88.6994430599829</v>
      </c>
      <c r="X14" s="149" t="n">
        <f aca="false">$B14*'Alberta Curve'!AS11</f>
        <v>103.612846812904</v>
      </c>
      <c r="Y14" s="149" t="n">
        <f aca="false">$B14*'Alberta Curve'!AT11</f>
        <v>109.851579309336</v>
      </c>
      <c r="Z14" s="149" t="n">
        <f aca="false">$B14*'Alberta Curve'!AU11</f>
        <v>99.3377874888206</v>
      </c>
      <c r="AA14" s="149" t="n">
        <f aca="false">$B14*'Alberta Curve'!AV11</f>
        <v>90.7395218353973</v>
      </c>
      <c r="AB14" s="149" t="n">
        <f aca="false">$B14*'Alberta Curve'!AW11</f>
        <v>83.8611603647568</v>
      </c>
      <c r="AC14" s="149" t="n">
        <f aca="false">$B14*'Alberta Curve'!AX11</f>
        <v>72.5723078636</v>
      </c>
      <c r="AD14" s="149" t="n">
        <f aca="false">C14</f>
        <v>30</v>
      </c>
    </row>
    <row r="15" customFormat="false" ht="12.75" hidden="false" customHeight="false" outlineLevel="0" collapsed="false">
      <c r="A15" s="148" t="n">
        <v>36980</v>
      </c>
      <c r="B15" s="54" t="n">
        <f aca="false">'Alberta Curve'!F49</f>
        <v>82.4890321065238</v>
      </c>
      <c r="C15" s="54" t="n">
        <f aca="false">'Alberta Curve'!J49</f>
        <v>31</v>
      </c>
      <c r="D15" s="54" t="n">
        <f aca="false">AVERAGE(N15:Z15)</f>
        <v>82.2773787330066</v>
      </c>
      <c r="E15" s="54" t="n">
        <f aca="false">AVERAGE(G15:AD15)</f>
        <v>65.3260214043492</v>
      </c>
      <c r="F15" s="54" t="n">
        <f aca="false">AVERAGE(AA15:AC15)</f>
        <v>83.4061967250983</v>
      </c>
      <c r="G15" s="149" t="n">
        <f aca="false">C15</f>
        <v>31</v>
      </c>
      <c r="H15" s="149" t="n">
        <f aca="false">G15</f>
        <v>31</v>
      </c>
      <c r="I15" s="149" t="n">
        <f aca="false">H15</f>
        <v>31</v>
      </c>
      <c r="J15" s="149" t="n">
        <f aca="false">I15</f>
        <v>31</v>
      </c>
      <c r="K15" s="149" t="n">
        <f aca="false">J15</f>
        <v>31</v>
      </c>
      <c r="L15" s="149" t="n">
        <f aca="false">K15</f>
        <v>31</v>
      </c>
      <c r="M15" s="149" t="n">
        <f aca="false">L15</f>
        <v>31</v>
      </c>
      <c r="N15" s="149" t="n">
        <f aca="false">$B15*'Alberta Curve'!AI12</f>
        <v>61.9784738140125</v>
      </c>
      <c r="O15" s="149" t="n">
        <f aca="false">$B15*'Alberta Curve'!AJ12</f>
        <v>71.9999955920747</v>
      </c>
      <c r="P15" s="149" t="n">
        <f aca="false">$B15*'Alberta Curve'!AK12</f>
        <v>91.4689363676147</v>
      </c>
      <c r="Q15" s="149" t="n">
        <f aca="false">$B15*'Alberta Curve'!AL12</f>
        <v>87.5595974482764</v>
      </c>
      <c r="R15" s="149" t="n">
        <f aca="false">$B15*'Alberta Curve'!AM12</f>
        <v>85.4651796365612</v>
      </c>
      <c r="S15" s="149" t="n">
        <f aca="false">$B15*'Alberta Curve'!AN12</f>
        <v>82.1136389324245</v>
      </c>
      <c r="T15" s="149" t="n">
        <f aca="false">$B15*'Alberta Curve'!AO12</f>
        <v>80.073096943879</v>
      </c>
      <c r="U15" s="149" t="n">
        <f aca="false">$B15*'Alberta Curve'!AP12</f>
        <v>79.2882961854165</v>
      </c>
      <c r="V15" s="149" t="n">
        <f aca="false">$B15*'Alberta Curve'!AQ12</f>
        <v>78.0302000908886</v>
      </c>
      <c r="W15" s="149" t="n">
        <f aca="false">$B15*'Alberta Curve'!AR12</f>
        <v>82.9615977416995</v>
      </c>
      <c r="X15" s="149" t="n">
        <f aca="false">$B15*'Alberta Curve'!AS12</f>
        <v>86.122217168</v>
      </c>
      <c r="Y15" s="149" t="n">
        <f aca="false">$B15*'Alberta Curve'!AT12</f>
        <v>81.708190183515</v>
      </c>
      <c r="Z15" s="149" t="n">
        <f aca="false">$B15*'Alberta Curve'!AU12</f>
        <v>100.836503424723</v>
      </c>
      <c r="AA15" s="149" t="n">
        <f aca="false">$B15*'Alberta Curve'!AV12</f>
        <v>96.8216262856941</v>
      </c>
      <c r="AB15" s="149" t="n">
        <f aca="false">$B15*'Alberta Curve'!AW12</f>
        <v>85.45734839264</v>
      </c>
      <c r="AC15" s="149" t="n">
        <f aca="false">$B15*'Alberta Curve'!AX12</f>
        <v>67.9396154969607</v>
      </c>
      <c r="AD15" s="149" t="n">
        <f aca="false">C15</f>
        <v>31</v>
      </c>
    </row>
    <row r="16" customFormat="false" ht="12.75" hidden="false" customHeight="false" outlineLevel="0" collapsed="false">
      <c r="A16" s="148" t="n">
        <v>37011</v>
      </c>
      <c r="B16" s="54" t="n">
        <f aca="false">'Alberta Curve'!F50</f>
        <v>76.8858737803351</v>
      </c>
      <c r="C16" s="54" t="n">
        <f aca="false">'Alberta Curve'!J50</f>
        <v>29.5</v>
      </c>
      <c r="D16" s="54" t="n">
        <f aca="false">AVERAGE(N16:Z16)</f>
        <v>77.844300307362</v>
      </c>
      <c r="E16" s="54" t="n">
        <f aca="false">AVERAGE(G16:AD16)</f>
        <v>61.0905825202234</v>
      </c>
      <c r="F16" s="54" t="n">
        <f aca="false">AVERAGE(AA16:AC16)</f>
        <v>72.7326921632185</v>
      </c>
      <c r="G16" s="149" t="n">
        <f aca="false">C16</f>
        <v>29.5</v>
      </c>
      <c r="H16" s="149" t="n">
        <f aca="false">G16</f>
        <v>29.5</v>
      </c>
      <c r="I16" s="149" t="n">
        <f aca="false">H16</f>
        <v>29.5</v>
      </c>
      <c r="J16" s="149" t="n">
        <f aca="false">I16</f>
        <v>29.5</v>
      </c>
      <c r="K16" s="149" t="n">
        <f aca="false">J16</f>
        <v>29.5</v>
      </c>
      <c r="L16" s="149" t="n">
        <f aca="false">K16</f>
        <v>29.5</v>
      </c>
      <c r="M16" s="149" t="n">
        <f aca="false">L16</f>
        <v>29.5</v>
      </c>
      <c r="N16" s="149" t="n">
        <f aca="false">$B16*'Alberta Curve'!AI13</f>
        <v>56.2212488339712</v>
      </c>
      <c r="O16" s="149" t="n">
        <f aca="false">$B16*'Alberta Curve'!AJ13</f>
        <v>73.5996904006893</v>
      </c>
      <c r="P16" s="149" t="n">
        <f aca="false">$B16*'Alberta Curve'!AK13</f>
        <v>79.2075824604441</v>
      </c>
      <c r="Q16" s="149" t="n">
        <f aca="false">$B16*'Alberta Curve'!AL13</f>
        <v>83.0677807952319</v>
      </c>
      <c r="R16" s="149" t="n">
        <f aca="false">$B16*'Alberta Curve'!AM13</f>
        <v>82.4717672423146</v>
      </c>
      <c r="S16" s="149" t="n">
        <f aca="false">$B16*'Alberta Curve'!AN13</f>
        <v>83.4007381077775</v>
      </c>
      <c r="T16" s="149" t="n">
        <f aca="false">$B16*'Alberta Curve'!AO13</f>
        <v>83.2315132579882</v>
      </c>
      <c r="U16" s="149" t="n">
        <f aca="false">$B16*'Alberta Curve'!AP13</f>
        <v>89.8164190953375</v>
      </c>
      <c r="V16" s="149" t="n">
        <f aca="false">$B16*'Alberta Curve'!AQ13</f>
        <v>80.6891997008914</v>
      </c>
      <c r="W16" s="149" t="n">
        <f aca="false">$B16*'Alberta Curve'!AR13</f>
        <v>81.6027681116134</v>
      </c>
      <c r="X16" s="149" t="n">
        <f aca="false">$B16*'Alberta Curve'!AS13</f>
        <v>84.6854127612286</v>
      </c>
      <c r="Y16" s="149" t="n">
        <f aca="false">$B16*'Alberta Curve'!AT13</f>
        <v>69.6534233538797</v>
      </c>
      <c r="Z16" s="149" t="n">
        <f aca="false">$B16*'Alberta Curve'!AU13</f>
        <v>64.3283598743389</v>
      </c>
      <c r="AA16" s="149" t="n">
        <f aca="false">$B16*'Alberta Curve'!AV13</f>
        <v>70.9194941158465</v>
      </c>
      <c r="AB16" s="149" t="n">
        <f aca="false">$B16*'Alberta Curve'!AW13</f>
        <v>83.3144403161123</v>
      </c>
      <c r="AC16" s="149" t="n">
        <f aca="false">$B16*'Alberta Curve'!AX13</f>
        <v>63.9641420576969</v>
      </c>
      <c r="AD16" s="149" t="n">
        <f aca="false">C16</f>
        <v>29.5</v>
      </c>
    </row>
    <row r="17" customFormat="false" ht="12.75" hidden="false" customHeight="false" outlineLevel="0" collapsed="false">
      <c r="A17" s="148" t="n">
        <v>37041</v>
      </c>
      <c r="B17" s="54" t="n">
        <f aca="false">'Alberta Curve'!F51</f>
        <v>74.7237754344531</v>
      </c>
      <c r="C17" s="54" t="n">
        <f aca="false">'Alberta Curve'!J51</f>
        <v>32</v>
      </c>
      <c r="D17" s="54" t="n">
        <f aca="false">AVERAGE(N17:Z17)</f>
        <v>76.3410227421407</v>
      </c>
      <c r="E17" s="54" t="n">
        <f aca="false">AVERAGE(G17:AD17)</f>
        <v>60.482516956302</v>
      </c>
      <c r="F17" s="54" t="n">
        <f aca="false">AVERAGE(AA17:AC17)</f>
        <v>67.7157037678068</v>
      </c>
      <c r="G17" s="149" t="n">
        <f aca="false">C17</f>
        <v>32</v>
      </c>
      <c r="H17" s="149" t="n">
        <f aca="false">G17</f>
        <v>32</v>
      </c>
      <c r="I17" s="149" t="n">
        <f aca="false">H17</f>
        <v>32</v>
      </c>
      <c r="J17" s="149" t="n">
        <f aca="false">I17</f>
        <v>32</v>
      </c>
      <c r="K17" s="149" t="n">
        <f aca="false">J17</f>
        <v>32</v>
      </c>
      <c r="L17" s="149" t="n">
        <f aca="false">K17</f>
        <v>32</v>
      </c>
      <c r="M17" s="149" t="n">
        <f aca="false">L17</f>
        <v>32</v>
      </c>
      <c r="N17" s="149" t="n">
        <f aca="false">$B17*'Alberta Curve'!AI14</f>
        <v>48.4769429601119</v>
      </c>
      <c r="O17" s="149" t="n">
        <f aca="false">$B17*'Alberta Curve'!AJ14</f>
        <v>58.5093080598417</v>
      </c>
      <c r="P17" s="149" t="n">
        <f aca="false">$B17*'Alberta Curve'!AK14</f>
        <v>67.4318544063968</v>
      </c>
      <c r="Q17" s="149" t="n">
        <f aca="false">$B17*'Alberta Curve'!AL14</f>
        <v>81.6551143292497</v>
      </c>
      <c r="R17" s="149" t="n">
        <f aca="false">$B17*'Alberta Curve'!AM14</f>
        <v>86.1348658317268</v>
      </c>
      <c r="S17" s="149" t="n">
        <f aca="false">$B17*'Alberta Curve'!AN14</f>
        <v>80.0872651960833</v>
      </c>
      <c r="T17" s="149" t="n">
        <f aca="false">$B17*'Alberta Curve'!AO14</f>
        <v>82.6591430535997</v>
      </c>
      <c r="U17" s="149" t="n">
        <f aca="false">$B17*'Alberta Curve'!AP14</f>
        <v>86.29120384104</v>
      </c>
      <c r="V17" s="149" t="n">
        <f aca="false">$B17*'Alberta Curve'!AQ14</f>
        <v>79.3721923410106</v>
      </c>
      <c r="W17" s="149" t="n">
        <f aca="false">$B17*'Alberta Curve'!AR14</f>
        <v>90.5157727981632</v>
      </c>
      <c r="X17" s="149" t="n">
        <f aca="false">$B17*'Alberta Curve'!AS14</f>
        <v>91.2356921977173</v>
      </c>
      <c r="Y17" s="149" t="n">
        <f aca="false">$B17*'Alberta Curve'!AT14</f>
        <v>71.3659980301231</v>
      </c>
      <c r="Z17" s="149" t="n">
        <f aca="false">$B17*'Alberta Curve'!AU14</f>
        <v>68.6979426027647</v>
      </c>
      <c r="AA17" s="149" t="n">
        <f aca="false">$B17*'Alberta Curve'!AV14</f>
        <v>66.7716772725215</v>
      </c>
      <c r="AB17" s="149" t="n">
        <f aca="false">$B17*'Alberta Curve'!AW14</f>
        <v>69.1990724008248</v>
      </c>
      <c r="AC17" s="149" t="n">
        <f aca="false">$B17*'Alberta Curve'!AX14</f>
        <v>67.1763616300739</v>
      </c>
      <c r="AD17" s="149" t="n">
        <f aca="false">C17</f>
        <v>32</v>
      </c>
    </row>
    <row r="18" customFormat="false" ht="12.75" hidden="false" customHeight="false" outlineLevel="0" collapsed="false">
      <c r="A18" s="148" t="n">
        <v>37072</v>
      </c>
      <c r="B18" s="54" t="n">
        <f aca="false">'Alberta Curve'!F52</f>
        <v>74.1131253865159</v>
      </c>
      <c r="C18" s="54" t="n">
        <f aca="false">'Alberta Curve'!J52</f>
        <v>32</v>
      </c>
      <c r="D18" s="54" t="n">
        <f aca="false">AVERAGE(N18:Z18)</f>
        <v>78.5823264457568</v>
      </c>
      <c r="E18" s="54" t="n">
        <f aca="false">AVERAGE(G18:AD18)</f>
        <v>60.0754169243439</v>
      </c>
      <c r="F18" s="54" t="n">
        <f aca="false">AVERAGE(AA18:AC18)</f>
        <v>54.7465874631386</v>
      </c>
      <c r="G18" s="149" t="n">
        <f aca="false">C18</f>
        <v>32</v>
      </c>
      <c r="H18" s="149" t="n">
        <f aca="false">G18</f>
        <v>32</v>
      </c>
      <c r="I18" s="149" t="n">
        <f aca="false">H18</f>
        <v>32</v>
      </c>
      <c r="J18" s="149" t="n">
        <f aca="false">I18</f>
        <v>32</v>
      </c>
      <c r="K18" s="149" t="n">
        <f aca="false">J18</f>
        <v>32</v>
      </c>
      <c r="L18" s="149" t="n">
        <f aca="false">K18</f>
        <v>32</v>
      </c>
      <c r="M18" s="149" t="n">
        <f aca="false">L18</f>
        <v>32</v>
      </c>
      <c r="N18" s="149" t="n">
        <f aca="false">$B18*'Alberta Curve'!AI15</f>
        <v>45.9244438459086</v>
      </c>
      <c r="O18" s="149" t="n">
        <f aca="false">$B18*'Alberta Curve'!AJ15</f>
        <v>56.4389397136406</v>
      </c>
      <c r="P18" s="149" t="n">
        <f aca="false">$B18*'Alberta Curve'!AK15</f>
        <v>68.337155746223</v>
      </c>
      <c r="Q18" s="149" t="n">
        <f aca="false">$B18*'Alberta Curve'!AL15</f>
        <v>79.1953434352607</v>
      </c>
      <c r="R18" s="149" t="n">
        <f aca="false">$B18*'Alberta Curve'!AM15</f>
        <v>91.9892882938432</v>
      </c>
      <c r="S18" s="149" t="n">
        <f aca="false">$B18*'Alberta Curve'!AN15</f>
        <v>101.936516935196</v>
      </c>
      <c r="T18" s="149" t="n">
        <f aca="false">$B18*'Alberta Curve'!AO15</f>
        <v>89.4479188611736</v>
      </c>
      <c r="U18" s="149" t="n">
        <f aca="false">$B18*'Alberta Curve'!AP15</f>
        <v>90.382533740566</v>
      </c>
      <c r="V18" s="149" t="n">
        <f aca="false">$B18*'Alberta Curve'!AQ15</f>
        <v>97.1519859934536</v>
      </c>
      <c r="W18" s="149" t="n">
        <f aca="false">$B18*'Alberta Curve'!AR15</f>
        <v>95.141375764458</v>
      </c>
      <c r="X18" s="149" t="n">
        <f aca="false">$B18*'Alberta Curve'!AS15</f>
        <v>83.4795128634545</v>
      </c>
      <c r="Y18" s="149" t="n">
        <f aca="false">$B18*'Alberta Curve'!AT15</f>
        <v>63.9262778043275</v>
      </c>
      <c r="Z18" s="149" t="n">
        <f aca="false">$B18*'Alberta Curve'!AU15</f>
        <v>58.2189507973331</v>
      </c>
      <c r="AA18" s="149" t="n">
        <f aca="false">$B18*'Alberta Curve'!AV15</f>
        <v>55.5967194310557</v>
      </c>
      <c r="AB18" s="149" t="n">
        <f aca="false">$B18*'Alberta Curve'!AW15</f>
        <v>54.9251031544085</v>
      </c>
      <c r="AC18" s="149" t="n">
        <f aca="false">$B18*'Alberta Curve'!AX15</f>
        <v>53.7179398039517</v>
      </c>
      <c r="AD18" s="149" t="n">
        <f aca="false">C18</f>
        <v>32</v>
      </c>
    </row>
    <row r="19" customFormat="false" ht="12.75" hidden="false" customHeight="false" outlineLevel="0" collapsed="false">
      <c r="A19" s="148" t="n">
        <v>37102</v>
      </c>
      <c r="B19" s="54" t="n">
        <f aca="false">'Alberta Curve'!F53</f>
        <v>74.1424670185267</v>
      </c>
      <c r="C19" s="54" t="n">
        <f aca="false">'Alberta Curve'!J53</f>
        <v>30</v>
      </c>
      <c r="D19" s="54" t="n">
        <f aca="false">AVERAGE(N19:Z19)</f>
        <v>77.3208534789936</v>
      </c>
      <c r="E19" s="54" t="n">
        <f aca="false">AVERAGE(G19:AD19)</f>
        <v>59.4283113456845</v>
      </c>
      <c r="F19" s="54" t="n">
        <f aca="false">AVERAGE(AA19:AC19)</f>
        <v>60.3694590231702</v>
      </c>
      <c r="G19" s="149" t="n">
        <f aca="false">C19</f>
        <v>30</v>
      </c>
      <c r="H19" s="149" t="n">
        <f aca="false">G19</f>
        <v>30</v>
      </c>
      <c r="I19" s="149" t="n">
        <f aca="false">H19</f>
        <v>30</v>
      </c>
      <c r="J19" s="149" t="n">
        <f aca="false">I19</f>
        <v>30</v>
      </c>
      <c r="K19" s="149" t="n">
        <f aca="false">J19</f>
        <v>30</v>
      </c>
      <c r="L19" s="149" t="n">
        <f aca="false">K19</f>
        <v>30</v>
      </c>
      <c r="M19" s="149" t="n">
        <f aca="false">L19</f>
        <v>30</v>
      </c>
      <c r="N19" s="149" t="n">
        <f aca="false">$B19*'Alberta Curve'!AI16</f>
        <v>48.6363250947652</v>
      </c>
      <c r="O19" s="149" t="n">
        <f aca="false">$B19*'Alberta Curve'!AJ16</f>
        <v>58.8054109064508</v>
      </c>
      <c r="P19" s="149" t="n">
        <f aca="false">$B19*'Alberta Curve'!AK16</f>
        <v>66.6606069477967</v>
      </c>
      <c r="Q19" s="149" t="n">
        <f aca="false">$B19*'Alberta Curve'!AL16</f>
        <v>75.8079477558495</v>
      </c>
      <c r="R19" s="149" t="n">
        <f aca="false">$B19*'Alberta Curve'!AM16</f>
        <v>89.9581339025258</v>
      </c>
      <c r="S19" s="149" t="n">
        <f aca="false">$B19*'Alberta Curve'!AN16</f>
        <v>99.9989081829644</v>
      </c>
      <c r="T19" s="149" t="n">
        <f aca="false">$B19*'Alberta Curve'!AO16</f>
        <v>84.72051349735</v>
      </c>
      <c r="U19" s="149" t="n">
        <f aca="false">$B19*'Alberta Curve'!AP16</f>
        <v>85.4723227909899</v>
      </c>
      <c r="V19" s="149" t="n">
        <f aca="false">$B19*'Alberta Curve'!AQ16</f>
        <v>82.6594444518387</v>
      </c>
      <c r="W19" s="149" t="n">
        <f aca="false">$B19*'Alberta Curve'!AR16</f>
        <v>102.393421832441</v>
      </c>
      <c r="X19" s="149" t="n">
        <f aca="false">$B19*'Alberta Curve'!AS16</f>
        <v>77.0119143183815</v>
      </c>
      <c r="Y19" s="149" t="n">
        <f aca="false">$B19*'Alberta Curve'!AT16</f>
        <v>68.8131552822216</v>
      </c>
      <c r="Z19" s="149" t="n">
        <f aca="false">$B19*'Alberta Curve'!AU16</f>
        <v>64.2329902633414</v>
      </c>
      <c r="AA19" s="149" t="n">
        <f aca="false">$B19*'Alberta Curve'!AV16</f>
        <v>61.3329558527111</v>
      </c>
      <c r="AB19" s="149" t="n">
        <f aca="false">$B19*'Alberta Curve'!AW16</f>
        <v>59.7876646207326</v>
      </c>
      <c r="AC19" s="149" t="n">
        <f aca="false">$B19*'Alberta Curve'!AX16</f>
        <v>59.9877565960669</v>
      </c>
      <c r="AD19" s="149" t="n">
        <f aca="false">C19</f>
        <v>30</v>
      </c>
    </row>
    <row r="20" customFormat="false" ht="12.75" hidden="false" customHeight="false" outlineLevel="0" collapsed="false">
      <c r="A20" s="148" t="n">
        <v>37133</v>
      </c>
      <c r="B20" s="54" t="n">
        <f aca="false">'Alberta Curve'!F54</f>
        <v>74.1415848887671</v>
      </c>
      <c r="C20" s="54" t="n">
        <f aca="false">'Alberta Curve'!J54</f>
        <v>30</v>
      </c>
      <c r="D20" s="54" t="n">
        <f aca="false">AVERAGE(N20:Z20)</f>
        <v>78.6078076021845</v>
      </c>
      <c r="E20" s="54" t="n">
        <f aca="false">AVERAGE(G20:AD20)</f>
        <v>59.4277232591781</v>
      </c>
      <c r="F20" s="54" t="n">
        <f aca="false">AVERAGE(AA20:AC20)</f>
        <v>54.7879531306252</v>
      </c>
      <c r="G20" s="149" t="n">
        <f aca="false">C20</f>
        <v>30</v>
      </c>
      <c r="H20" s="149" t="n">
        <f aca="false">G20</f>
        <v>30</v>
      </c>
      <c r="I20" s="149" t="n">
        <f aca="false">H20</f>
        <v>30</v>
      </c>
      <c r="J20" s="149" t="n">
        <f aca="false">I20</f>
        <v>30</v>
      </c>
      <c r="K20" s="149" t="n">
        <f aca="false">J20</f>
        <v>30</v>
      </c>
      <c r="L20" s="149" t="n">
        <f aca="false">K20</f>
        <v>30</v>
      </c>
      <c r="M20" s="149" t="n">
        <f aca="false">L20</f>
        <v>30</v>
      </c>
      <c r="N20" s="149" t="n">
        <f aca="false">$B20*'Alberta Curve'!AI17</f>
        <v>42.1623835090772</v>
      </c>
      <c r="O20" s="149" t="n">
        <f aca="false">$B20*'Alberta Curve'!AJ17</f>
        <v>48.1036630777256</v>
      </c>
      <c r="P20" s="149" t="n">
        <f aca="false">$B20*'Alberta Curve'!AK17</f>
        <v>57.2641179486172</v>
      </c>
      <c r="Q20" s="149" t="n">
        <f aca="false">$B20*'Alberta Curve'!AL17</f>
        <v>68.1934347848295</v>
      </c>
      <c r="R20" s="149" t="n">
        <f aca="false">$B20*'Alberta Curve'!AM17</f>
        <v>82.3424419690583</v>
      </c>
      <c r="S20" s="149" t="n">
        <f aca="false">$B20*'Alberta Curve'!AN17</f>
        <v>100.022332219775</v>
      </c>
      <c r="T20" s="149" t="n">
        <f aca="false">$B20*'Alberta Curve'!AO17</f>
        <v>100.011037685574</v>
      </c>
      <c r="U20" s="149" t="n">
        <f aca="false">$B20*'Alberta Curve'!AP17</f>
        <v>98.3511443034018</v>
      </c>
      <c r="V20" s="149" t="n">
        <f aca="false">$B20*'Alberta Curve'!AQ17</f>
        <v>101.287418879799</v>
      </c>
      <c r="W20" s="149" t="n">
        <f aca="false">$B20*'Alberta Curve'!AR17</f>
        <v>101.672884529572</v>
      </c>
      <c r="X20" s="149" t="n">
        <f aca="false">$B20*'Alberta Curve'!AS17</f>
        <v>103.925560209968</v>
      </c>
      <c r="Y20" s="149" t="n">
        <f aca="false">$B20*'Alberta Curve'!AT17</f>
        <v>63.1334005064214</v>
      </c>
      <c r="Z20" s="149" t="n">
        <f aca="false">$B20*'Alberta Curve'!AU17</f>
        <v>55.4316792045792</v>
      </c>
      <c r="AA20" s="149" t="n">
        <f aca="false">$B20*'Alberta Curve'!AV17</f>
        <v>54.5554226524353</v>
      </c>
      <c r="AB20" s="149" t="n">
        <f aca="false">$B20*'Alberta Curve'!AW17</f>
        <v>57.8397855423889</v>
      </c>
      <c r="AC20" s="149" t="n">
        <f aca="false">$B20*'Alberta Curve'!AX17</f>
        <v>51.9686511970514</v>
      </c>
      <c r="AD20" s="149" t="n">
        <f aca="false">C20</f>
        <v>30</v>
      </c>
    </row>
    <row r="21" customFormat="false" ht="12.75" hidden="false" customHeight="false" outlineLevel="0" collapsed="false">
      <c r="A21" s="148" t="n">
        <v>37164</v>
      </c>
      <c r="B21" s="54" t="n">
        <f aca="false">'Alberta Curve'!F55</f>
        <v>74.1146161241699</v>
      </c>
      <c r="C21" s="54" t="n">
        <f aca="false">'Alberta Curve'!J55</f>
        <v>30</v>
      </c>
      <c r="D21" s="54" t="n">
        <f aca="false">AVERAGE(N21:Z21)</f>
        <v>75.6480282234649</v>
      </c>
      <c r="E21" s="54" t="n">
        <f aca="false">AVERAGE(G21:AD21)</f>
        <v>59.40974408278</v>
      </c>
      <c r="F21" s="54" t="n">
        <f aca="false">AVERAGE(AA21:AC21)</f>
        <v>67.4698303605585</v>
      </c>
      <c r="G21" s="149" t="n">
        <f aca="false">C21</f>
        <v>30</v>
      </c>
      <c r="H21" s="149" t="n">
        <f aca="false">G21</f>
        <v>30</v>
      </c>
      <c r="I21" s="149" t="n">
        <f aca="false">H21</f>
        <v>30</v>
      </c>
      <c r="J21" s="149" t="n">
        <f aca="false">I21</f>
        <v>30</v>
      </c>
      <c r="K21" s="149" t="n">
        <f aca="false">J21</f>
        <v>30</v>
      </c>
      <c r="L21" s="149" t="n">
        <f aca="false">K21</f>
        <v>30</v>
      </c>
      <c r="M21" s="149" t="n">
        <f aca="false">L21</f>
        <v>30</v>
      </c>
      <c r="N21" s="149" t="n">
        <f aca="false">$B21*'Alberta Curve'!AI18</f>
        <v>54.4420486112594</v>
      </c>
      <c r="O21" s="149" t="n">
        <f aca="false">$B21*'Alberta Curve'!AJ18</f>
        <v>59.4593028332458</v>
      </c>
      <c r="P21" s="149" t="n">
        <f aca="false">$B21*'Alberta Curve'!AK18</f>
        <v>66.6941753547033</v>
      </c>
      <c r="Q21" s="149" t="n">
        <f aca="false">$B21*'Alberta Curve'!AL18</f>
        <v>71.2864435485936</v>
      </c>
      <c r="R21" s="149" t="n">
        <f aca="false">$B21*'Alberta Curve'!AM18</f>
        <v>74.476018776323</v>
      </c>
      <c r="S21" s="149" t="n">
        <f aca="false">$B21*'Alberta Curve'!AN18</f>
        <v>94.9747937711048</v>
      </c>
      <c r="T21" s="149" t="n">
        <f aca="false">$B21*'Alberta Curve'!AO18</f>
        <v>88.4702200241173</v>
      </c>
      <c r="U21" s="149" t="n">
        <f aca="false">$B21*'Alberta Curve'!AP18</f>
        <v>88.3300396819379</v>
      </c>
      <c r="V21" s="149" t="n">
        <f aca="false">$B21*'Alberta Curve'!AQ18</f>
        <v>92.6472554390703</v>
      </c>
      <c r="W21" s="149" t="n">
        <f aca="false">$B21*'Alberta Curve'!AR18</f>
        <v>82.5950777400996</v>
      </c>
      <c r="X21" s="149" t="n">
        <f aca="false">$B21*'Alberta Curve'!AS18</f>
        <v>76.2633277414594</v>
      </c>
      <c r="Y21" s="149" t="n">
        <f aca="false">$B21*'Alberta Curve'!AT18</f>
        <v>67.5396585492569</v>
      </c>
      <c r="Z21" s="149" t="n">
        <f aca="false">$B21*'Alberta Curve'!AU18</f>
        <v>66.2460048338724</v>
      </c>
      <c r="AA21" s="149" t="n">
        <f aca="false">$B21*'Alberta Curve'!AV18</f>
        <v>76.4548402195585</v>
      </c>
      <c r="AB21" s="149" t="n">
        <f aca="false">$B21*'Alberta Curve'!AW18</f>
        <v>68.6026924664906</v>
      </c>
      <c r="AC21" s="149" t="n">
        <f aca="false">$B21*'Alberta Curve'!AX18</f>
        <v>57.3519583956263</v>
      </c>
      <c r="AD21" s="149" t="n">
        <f aca="false">C21</f>
        <v>30</v>
      </c>
    </row>
    <row r="22" customFormat="false" ht="12.75" hidden="false" customHeight="false" outlineLevel="0" collapsed="false">
      <c r="A22" s="148" t="n">
        <v>37194</v>
      </c>
      <c r="B22" s="54" t="n">
        <f aca="false">'Alberta Curve'!F56</f>
        <v>74.5571575826009</v>
      </c>
      <c r="C22" s="54" t="n">
        <f aca="false">'Alberta Curve'!J56</f>
        <v>30</v>
      </c>
      <c r="D22" s="54" t="n">
        <f aca="false">AVERAGE(N22:Z22)</f>
        <v>75.5328315703449</v>
      </c>
      <c r="E22" s="54" t="n">
        <f aca="false">AVERAGE(G22:AD22)</f>
        <v>59.7047717217339</v>
      </c>
      <c r="F22" s="54" t="n">
        <f aca="false">AVERAGE(AA22:AC22)</f>
        <v>70.3292369690436</v>
      </c>
      <c r="G22" s="149" t="n">
        <f aca="false">C22</f>
        <v>30</v>
      </c>
      <c r="H22" s="149" t="n">
        <f aca="false">G22</f>
        <v>30</v>
      </c>
      <c r="I22" s="149" t="n">
        <f aca="false">H22</f>
        <v>30</v>
      </c>
      <c r="J22" s="149" t="n">
        <f aca="false">I22</f>
        <v>30</v>
      </c>
      <c r="K22" s="149" t="n">
        <f aca="false">J22</f>
        <v>30</v>
      </c>
      <c r="L22" s="149" t="n">
        <f aca="false">K22</f>
        <v>30</v>
      </c>
      <c r="M22" s="149" t="n">
        <f aca="false">L22</f>
        <v>30</v>
      </c>
      <c r="N22" s="149" t="n">
        <f aca="false">$B22*'Alberta Curve'!AI19</f>
        <v>59.1419046782723</v>
      </c>
      <c r="O22" s="149" t="n">
        <f aca="false">$B22*'Alberta Curve'!AJ19</f>
        <v>66.7694363957209</v>
      </c>
      <c r="P22" s="149" t="n">
        <f aca="false">$B22*'Alberta Curve'!AK19</f>
        <v>66.8994766951293</v>
      </c>
      <c r="Q22" s="149" t="n">
        <f aca="false">$B22*'Alberta Curve'!AL19</f>
        <v>71.6953526544963</v>
      </c>
      <c r="R22" s="149" t="n">
        <f aca="false">$B22*'Alberta Curve'!AM19</f>
        <v>80.2525025583146</v>
      </c>
      <c r="S22" s="149" t="n">
        <f aca="false">$B22*'Alberta Curve'!AN19</f>
        <v>77.3135723711225</v>
      </c>
      <c r="T22" s="149" t="n">
        <f aca="false">$B22*'Alberta Curve'!AO19</f>
        <v>73.2394056735587</v>
      </c>
      <c r="U22" s="149" t="n">
        <f aca="false">$B22*'Alberta Curve'!AP19</f>
        <v>74.8341813057308</v>
      </c>
      <c r="V22" s="149" t="n">
        <f aca="false">$B22*'Alberta Curve'!AQ19</f>
        <v>71.8891676680906</v>
      </c>
      <c r="W22" s="149" t="n">
        <f aca="false">$B22*'Alberta Curve'!AR19</f>
        <v>79.7870592009046</v>
      </c>
      <c r="X22" s="149" t="n">
        <f aca="false">$B22*'Alberta Curve'!AS19</f>
        <v>89.9852445374494</v>
      </c>
      <c r="Y22" s="149" t="n">
        <f aca="false">$B22*'Alberta Curve'!AT19</f>
        <v>82.2968209123288</v>
      </c>
      <c r="Z22" s="149" t="n">
        <f aca="false">$B22*'Alberta Curve'!AU19</f>
        <v>87.8226857633648</v>
      </c>
      <c r="AA22" s="149" t="n">
        <f aca="false">$B22*'Alberta Curve'!AV19</f>
        <v>84.838628418301</v>
      </c>
      <c r="AB22" s="149" t="n">
        <f aca="false">$B22*'Alberta Curve'!AW19</f>
        <v>71.5494282042217</v>
      </c>
      <c r="AC22" s="149" t="n">
        <f aca="false">$B22*'Alberta Curve'!AX19</f>
        <v>54.599654284608</v>
      </c>
      <c r="AD22" s="149" t="n">
        <f aca="false">C22</f>
        <v>30</v>
      </c>
    </row>
    <row r="23" customFormat="false" ht="12.75" hidden="false" customHeight="false" outlineLevel="0" collapsed="false">
      <c r="A23" s="148" t="n">
        <v>37225</v>
      </c>
      <c r="B23" s="54" t="n">
        <f aca="false">'Alberta Curve'!F57</f>
        <v>77.3267794389224</v>
      </c>
      <c r="C23" s="54" t="n">
        <f aca="false">'Alberta Curve'!J57</f>
        <v>33</v>
      </c>
      <c r="D23" s="54" t="n">
        <f aca="false">AVERAGE(N23:Z23)</f>
        <v>78.2807405764658</v>
      </c>
      <c r="E23" s="54" t="n">
        <f aca="false">AVERAGE(G23:AD23)</f>
        <v>62.5511862926149</v>
      </c>
      <c r="F23" s="54" t="n">
        <f aca="false">AVERAGE(AA23:AC23)</f>
        <v>73.1929478429013</v>
      </c>
      <c r="G23" s="149" t="n">
        <f aca="false">C23</f>
        <v>33</v>
      </c>
      <c r="H23" s="149" t="n">
        <f aca="false">G23</f>
        <v>33</v>
      </c>
      <c r="I23" s="149" t="n">
        <f aca="false">H23</f>
        <v>33</v>
      </c>
      <c r="J23" s="149" t="n">
        <f aca="false">I23</f>
        <v>33</v>
      </c>
      <c r="K23" s="149" t="n">
        <f aca="false">J23</f>
        <v>33</v>
      </c>
      <c r="L23" s="149" t="n">
        <f aca="false">K23</f>
        <v>33</v>
      </c>
      <c r="M23" s="149" t="n">
        <f aca="false">L23</f>
        <v>33</v>
      </c>
      <c r="N23" s="149" t="n">
        <f aca="false">$B23*'Alberta Curve'!AI20</f>
        <v>68.4002622037599</v>
      </c>
      <c r="O23" s="149" t="n">
        <f aca="false">$B23*'Alberta Curve'!AJ20</f>
        <v>73.9417595236113</v>
      </c>
      <c r="P23" s="149" t="n">
        <f aca="false">$B23*'Alberta Curve'!AK20</f>
        <v>75.4058562807886</v>
      </c>
      <c r="Q23" s="149" t="n">
        <f aca="false">$B23*'Alberta Curve'!AL20</f>
        <v>76.4074954600662</v>
      </c>
      <c r="R23" s="149" t="n">
        <f aca="false">$B23*'Alberta Curve'!AM20</f>
        <v>77.0737971342781</v>
      </c>
      <c r="S23" s="149" t="n">
        <f aca="false">$B23*'Alberta Curve'!AN20</f>
        <v>75.9736662304151</v>
      </c>
      <c r="T23" s="149" t="n">
        <f aca="false">$B23*'Alberta Curve'!AO20</f>
        <v>73.9082220101816</v>
      </c>
      <c r="U23" s="149" t="n">
        <f aca="false">$B23*'Alberta Curve'!AP20</f>
        <v>73.317280736937</v>
      </c>
      <c r="V23" s="149" t="n">
        <f aca="false">$B23*'Alberta Curve'!AQ20</f>
        <v>74.3429237732906</v>
      </c>
      <c r="W23" s="149" t="n">
        <f aca="false">$B23*'Alberta Curve'!AR20</f>
        <v>83.5146350675981</v>
      </c>
      <c r="X23" s="149" t="n">
        <f aca="false">$B23*'Alberta Curve'!AS20</f>
        <v>99.0859438416334</v>
      </c>
      <c r="Y23" s="149" t="n">
        <f aca="false">$B23*'Alberta Curve'!AT20</f>
        <v>85.7666715175724</v>
      </c>
      <c r="Z23" s="149" t="n">
        <f aca="false">$B23*'Alberta Curve'!AU20</f>
        <v>80.5111137139227</v>
      </c>
      <c r="AA23" s="149" t="n">
        <f aca="false">$B23*'Alberta Curve'!AV20</f>
        <v>78.0100162630588</v>
      </c>
      <c r="AB23" s="149" t="n">
        <f aca="false">$B23*'Alberta Curve'!AW20</f>
        <v>74.9067173602646</v>
      </c>
      <c r="AC23" s="149" t="n">
        <f aca="false">$B23*'Alberta Curve'!AX20</f>
        <v>66.6621099053805</v>
      </c>
      <c r="AD23" s="149" t="n">
        <f aca="false">C23</f>
        <v>33</v>
      </c>
    </row>
    <row r="24" customFormat="false" ht="12.75" hidden="false" customHeight="false" outlineLevel="0" collapsed="false">
      <c r="A24" s="148" t="n">
        <v>37255</v>
      </c>
      <c r="B24" s="54" t="n">
        <f aca="false">'Alberta Curve'!F58</f>
        <v>79.4566410696436</v>
      </c>
      <c r="C24" s="54" t="n">
        <f aca="false">'Alberta Curve'!J58</f>
        <v>33</v>
      </c>
      <c r="D24" s="54" t="n">
        <f aca="false">AVERAGE(N24:Z24)</f>
        <v>80.1197897238006</v>
      </c>
      <c r="E24" s="54" t="n">
        <f aca="false">AVERAGE(G24:AD24)</f>
        <v>64.1975322008954</v>
      </c>
      <c r="F24" s="54" t="n">
        <f aca="false">AVERAGE(AA24:AC24)</f>
        <v>78.3945021373601</v>
      </c>
      <c r="G24" s="149" t="n">
        <f aca="false">C24</f>
        <v>33</v>
      </c>
      <c r="H24" s="149" t="n">
        <f aca="false">G24</f>
        <v>33</v>
      </c>
      <c r="I24" s="149" t="n">
        <f aca="false">H24</f>
        <v>33</v>
      </c>
      <c r="J24" s="149" t="n">
        <f aca="false">I24</f>
        <v>33</v>
      </c>
      <c r="K24" s="149" t="n">
        <f aca="false">J24</f>
        <v>33</v>
      </c>
      <c r="L24" s="149" t="n">
        <f aca="false">K24</f>
        <v>33</v>
      </c>
      <c r="M24" s="149" t="n">
        <f aca="false">L24</f>
        <v>33</v>
      </c>
      <c r="N24" s="149" t="n">
        <f aca="false">$B24*'Alberta Curve'!AI21</f>
        <v>61.5328296608336</v>
      </c>
      <c r="O24" s="149" t="n">
        <f aca="false">$B24*'Alberta Curve'!AJ21</f>
        <v>68.97793179011</v>
      </c>
      <c r="P24" s="149" t="n">
        <f aca="false">$B24*'Alberta Curve'!AK21</f>
        <v>68.5598035009807</v>
      </c>
      <c r="Q24" s="149" t="n">
        <f aca="false">$B24*'Alberta Curve'!AL21</f>
        <v>72.175890865395</v>
      </c>
      <c r="R24" s="149" t="n">
        <f aca="false">$B24*'Alberta Curve'!AM21</f>
        <v>68.5694987853736</v>
      </c>
      <c r="S24" s="149" t="n">
        <f aca="false">$B24*'Alberta Curve'!AN21</f>
        <v>67.3400313878164</v>
      </c>
      <c r="T24" s="149" t="n">
        <f aca="false">$B24*'Alberta Curve'!AO21</f>
        <v>66.453440704667</v>
      </c>
      <c r="U24" s="149" t="n">
        <f aca="false">$B24*'Alberta Curve'!AP21</f>
        <v>64.7828162960257</v>
      </c>
      <c r="V24" s="149" t="n">
        <f aca="false">$B24*'Alberta Curve'!AQ21</f>
        <v>65.2041974774402</v>
      </c>
      <c r="W24" s="149" t="n">
        <f aca="false">$B24*'Alberta Curve'!AR21</f>
        <v>92.3611120559445</v>
      </c>
      <c r="X24" s="149" t="n">
        <f aca="false">$B24*'Alberta Curve'!AS21</f>
        <v>128.942844287681</v>
      </c>
      <c r="Y24" s="149" t="n">
        <f aca="false">$B24*'Alberta Curve'!AT21</f>
        <v>125.014370541897</v>
      </c>
      <c r="Z24" s="149" t="n">
        <f aca="false">$B24*'Alberta Curve'!AU21</f>
        <v>91.6424990552431</v>
      </c>
      <c r="AA24" s="149" t="n">
        <f aca="false">$B24*'Alberta Curve'!AV21</f>
        <v>90.4255013311346</v>
      </c>
      <c r="AB24" s="149" t="n">
        <f aca="false">$B24*'Alberta Curve'!AW21</f>
        <v>80.0497148694186</v>
      </c>
      <c r="AC24" s="149" t="n">
        <f aca="false">$B24*'Alberta Curve'!AX21</f>
        <v>64.7082902115272</v>
      </c>
      <c r="AD24" s="149" t="n">
        <f aca="false">C24</f>
        <v>33</v>
      </c>
    </row>
    <row r="25" customFormat="false" ht="12.75" hidden="false" customHeight="false" outlineLevel="0" collapsed="false">
      <c r="A25" s="148"/>
      <c r="B25" s="54"/>
      <c r="C25" s="54"/>
      <c r="D25" s="54"/>
      <c r="E25" s="54"/>
      <c r="F25" s="54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</row>
    <row r="26" customFormat="false" ht="12.75" hidden="false" customHeight="false" outlineLevel="0" collapsed="false">
      <c r="A26" s="52"/>
      <c r="B26" s="54"/>
      <c r="C26" s="54"/>
      <c r="D26" s="54"/>
      <c r="E26" s="54"/>
      <c r="F26" s="54"/>
    </row>
    <row r="27" customFormat="false" ht="12.75" hidden="false" customHeight="false" outlineLevel="0" collapsed="false">
      <c r="A27" s="145" t="s">
        <v>213</v>
      </c>
      <c r="B27" s="54"/>
      <c r="C27" s="54"/>
      <c r="D27" s="54"/>
      <c r="E27" s="54"/>
      <c r="F27" s="54"/>
    </row>
    <row r="28" customFormat="false" ht="12.75" hidden="false" customHeight="false" outlineLevel="0" collapsed="false">
      <c r="B28" s="54"/>
      <c r="C28" s="54"/>
      <c r="D28" s="54"/>
      <c r="E28" s="54"/>
      <c r="F28" s="54"/>
    </row>
    <row r="29" customFormat="false" ht="12.75" hidden="false" customHeight="false" outlineLevel="0" collapsed="false">
      <c r="A29" s="146" t="s">
        <v>86</v>
      </c>
      <c r="B29" s="147" t="s">
        <v>214</v>
      </c>
      <c r="C29" s="147" t="s">
        <v>185</v>
      </c>
      <c r="D29" s="147" t="s">
        <v>215</v>
      </c>
      <c r="E29" s="147" t="s">
        <v>216</v>
      </c>
      <c r="F29" s="147" t="s">
        <v>188</v>
      </c>
      <c r="G29" s="3" t="s">
        <v>189</v>
      </c>
      <c r="H29" s="3" t="s">
        <v>190</v>
      </c>
      <c r="I29" s="3" t="s">
        <v>191</v>
      </c>
      <c r="J29" s="3" t="s">
        <v>192</v>
      </c>
      <c r="K29" s="3" t="s">
        <v>193</v>
      </c>
      <c r="L29" s="3" t="s">
        <v>194</v>
      </c>
      <c r="M29" s="3" t="s">
        <v>195</v>
      </c>
      <c r="N29" s="3" t="s">
        <v>196</v>
      </c>
      <c r="O29" s="3" t="s">
        <v>197</v>
      </c>
      <c r="P29" s="3" t="s">
        <v>198</v>
      </c>
      <c r="Q29" s="3" t="s">
        <v>199</v>
      </c>
      <c r="R29" s="3" t="s">
        <v>200</v>
      </c>
      <c r="S29" s="3" t="s">
        <v>201</v>
      </c>
      <c r="T29" s="3" t="s">
        <v>202</v>
      </c>
      <c r="U29" s="3" t="s">
        <v>203</v>
      </c>
      <c r="V29" s="3" t="s">
        <v>204</v>
      </c>
      <c r="W29" s="3" t="s">
        <v>205</v>
      </c>
      <c r="X29" s="3" t="s">
        <v>206</v>
      </c>
      <c r="Y29" s="3" t="s">
        <v>207</v>
      </c>
      <c r="Z29" s="3" t="s">
        <v>208</v>
      </c>
      <c r="AA29" s="3" t="s">
        <v>209</v>
      </c>
      <c r="AB29" s="3" t="s">
        <v>210</v>
      </c>
      <c r="AC29" s="3" t="s">
        <v>211</v>
      </c>
      <c r="AD29" s="3" t="s">
        <v>212</v>
      </c>
    </row>
    <row r="30" customFormat="false" ht="12.75" hidden="false" customHeight="false" outlineLevel="0" collapsed="false">
      <c r="A30" s="148" t="n">
        <f aca="false">A6</f>
        <v>36707</v>
      </c>
      <c r="B30" s="54" t="n">
        <f aca="false">'Alberta Curve'!O11</f>
        <v>52.875</v>
      </c>
      <c r="C30" s="54" t="n">
        <f aca="false">C6</f>
        <v>35</v>
      </c>
      <c r="D30" s="54" t="n">
        <f aca="false">AVERAGE(N30:Z30)</f>
        <v>56.0634906320569</v>
      </c>
      <c r="E30" s="54" t="n">
        <f aca="false">AVERAGE(G30:AD30)</f>
        <v>46.9166666666667</v>
      </c>
      <c r="F30" s="54" t="n">
        <f aca="false">AVERAGE(AA30:AC30)</f>
        <v>39.0582072610869</v>
      </c>
      <c r="G30" s="54" t="n">
        <f aca="false">C30</f>
        <v>35</v>
      </c>
      <c r="H30" s="54" t="n">
        <f aca="false">G30</f>
        <v>35</v>
      </c>
      <c r="I30" s="54" t="n">
        <f aca="false">H30</f>
        <v>35</v>
      </c>
      <c r="J30" s="54" t="n">
        <f aca="false">I30</f>
        <v>35</v>
      </c>
      <c r="K30" s="54" t="n">
        <f aca="false">J30</f>
        <v>35</v>
      </c>
      <c r="L30" s="54" t="n">
        <f aca="false">K30</f>
        <v>35</v>
      </c>
      <c r="M30" s="54" t="n">
        <f aca="false">L30</f>
        <v>35</v>
      </c>
      <c r="N30" s="54" t="n">
        <f aca="false">$B30*'Alberta Curve'!AI15</f>
        <v>32.7641690414288</v>
      </c>
      <c r="O30" s="54" t="n">
        <f aca="false">$B30*'Alberta Curve'!AJ15</f>
        <v>40.2655929269675</v>
      </c>
      <c r="P30" s="54" t="n">
        <f aca="false">$B30*'Alberta Curve'!AK15</f>
        <v>48.7542131199739</v>
      </c>
      <c r="Q30" s="54" t="n">
        <f aca="false">$B30*'Alberta Curve'!AL15</f>
        <v>56.500839254868</v>
      </c>
      <c r="R30" s="54" t="n">
        <f aca="false">$B30*'Alberta Curve'!AM15</f>
        <v>65.6285049803324</v>
      </c>
      <c r="S30" s="54" t="n">
        <f aca="false">$B30*'Alberta Curve'!AN15</f>
        <v>72.7252197885195</v>
      </c>
      <c r="T30" s="54" t="n">
        <f aca="false">$B30*'Alberta Curve'!AO15</f>
        <v>63.8153995681452</v>
      </c>
      <c r="U30" s="54" t="n">
        <f aca="false">$B30*'Alberta Curve'!AP15</f>
        <v>64.4821878258276</v>
      </c>
      <c r="V30" s="54" t="n">
        <f aca="false">$B30*'Alberta Curve'!AQ15</f>
        <v>69.3117613461011</v>
      </c>
      <c r="W30" s="54" t="n">
        <f aca="false">$B30*'Alberta Curve'!AR15</f>
        <v>67.8773188596494</v>
      </c>
      <c r="X30" s="54" t="n">
        <f aca="false">$B30*'Alberta Curve'!AS15</f>
        <v>59.5573215896011</v>
      </c>
      <c r="Y30" s="54" t="n">
        <f aca="false">$B30*'Alberta Curve'!AT15</f>
        <v>45.6073323217157</v>
      </c>
      <c r="Z30" s="54" t="n">
        <f aca="false">$B30*'Alberta Curve'!AU15</f>
        <v>41.5355175936091</v>
      </c>
      <c r="AA30" s="54" t="n">
        <f aca="false">$B30*'Alberta Curve'!AV15</f>
        <v>39.6647223361048</v>
      </c>
      <c r="AB30" s="54" t="n">
        <f aca="false">$B30*'Alberta Curve'!AW15</f>
        <v>39.1855668499136</v>
      </c>
      <c r="AC30" s="54" t="n">
        <f aca="false">$B30*'Alberta Curve'!AX15</f>
        <v>38.3243325972421</v>
      </c>
      <c r="AD30" s="54" t="n">
        <f aca="false">C30</f>
        <v>35</v>
      </c>
    </row>
    <row r="31" customFormat="false" ht="12.75" hidden="false" customHeight="false" outlineLevel="0" collapsed="false">
      <c r="A31" s="148" t="n">
        <f aca="false">A7</f>
        <v>36737</v>
      </c>
      <c r="B31" s="54" t="n">
        <f aca="false">'Alberta Curve'!O12</f>
        <v>53.55</v>
      </c>
      <c r="C31" s="54" t="n">
        <f aca="false">C7</f>
        <v>35</v>
      </c>
      <c r="D31" s="54" t="n">
        <f aca="false">AVERAGE(N31:Z31)</f>
        <v>55.8456154792566</v>
      </c>
      <c r="E31" s="54" t="n">
        <f aca="false">AVERAGE(G31:AD31)</f>
        <v>47.3666666666667</v>
      </c>
      <c r="F31" s="54" t="n">
        <f aca="false">AVERAGE(AA31:AC31)</f>
        <v>43.6023329232214</v>
      </c>
      <c r="G31" s="54" t="n">
        <f aca="false">C31</f>
        <v>35</v>
      </c>
      <c r="H31" s="54" t="n">
        <f aca="false">G31</f>
        <v>35</v>
      </c>
      <c r="I31" s="54" t="n">
        <f aca="false">H31</f>
        <v>35</v>
      </c>
      <c r="J31" s="54" t="n">
        <f aca="false">I31</f>
        <v>35</v>
      </c>
      <c r="K31" s="54" t="n">
        <f aca="false">J31</f>
        <v>35</v>
      </c>
      <c r="L31" s="54" t="n">
        <f aca="false">K31</f>
        <v>35</v>
      </c>
      <c r="M31" s="54" t="n">
        <f aca="false">L31</f>
        <v>35</v>
      </c>
      <c r="N31" s="54" t="n">
        <f aca="false">$B31*'Alberta Curve'!AI16</f>
        <v>35.1279814869644</v>
      </c>
      <c r="O31" s="54" t="n">
        <f aca="false">$B31*'Alberta Curve'!AJ16</f>
        <v>42.4726864464001</v>
      </c>
      <c r="P31" s="54" t="n">
        <f aca="false">$B31*'Alberta Curve'!AK16</f>
        <v>48.1461656942508</v>
      </c>
      <c r="Q31" s="54" t="n">
        <f aca="false">$B31*'Alberta Curve'!AL16</f>
        <v>54.7529070122707</v>
      </c>
      <c r="R31" s="54" t="n">
        <f aca="false">$B31*'Alberta Curve'!AM16</f>
        <v>64.9729940774229</v>
      </c>
      <c r="S31" s="54" t="n">
        <f aca="false">$B31*'Alberta Curve'!AN16</f>
        <v>72.2250249895199</v>
      </c>
      <c r="T31" s="54" t="n">
        <f aca="false">$B31*'Alberta Curve'!AO16</f>
        <v>61.1900801284296</v>
      </c>
      <c r="U31" s="54" t="n">
        <f aca="false">$B31*'Alberta Curve'!AP16</f>
        <v>61.7330805072051</v>
      </c>
      <c r="V31" s="54" t="n">
        <f aca="false">$B31*'Alberta Curve'!AQ16</f>
        <v>59.7014562422086</v>
      </c>
      <c r="W31" s="54" t="n">
        <f aca="false">$B31*'Alberta Curve'!AR16</f>
        <v>73.9544819537378</v>
      </c>
      <c r="X31" s="54" t="n">
        <f aca="false">$B31*'Alberta Curve'!AS16</f>
        <v>55.622481657089</v>
      </c>
      <c r="Y31" s="54" t="n">
        <f aca="false">$B31*'Alberta Curve'!AT16</f>
        <v>49.7008612411315</v>
      </c>
      <c r="Z31" s="54" t="n">
        <f aca="false">$B31*'Alberta Curve'!AU16</f>
        <v>46.3927997937056</v>
      </c>
      <c r="AA31" s="54" t="n">
        <f aca="false">$B31*'Alberta Curve'!AV16</f>
        <v>44.2982263470135</v>
      </c>
      <c r="AB31" s="54" t="n">
        <f aca="false">$B31*'Alberta Curve'!AW16</f>
        <v>43.1821271827954</v>
      </c>
      <c r="AC31" s="54" t="n">
        <f aca="false">$B31*'Alberta Curve'!AX16</f>
        <v>43.3266452398553</v>
      </c>
      <c r="AD31" s="54" t="n">
        <f aca="false">C31</f>
        <v>35</v>
      </c>
    </row>
    <row r="32" customFormat="false" ht="12.75" hidden="false" customHeight="false" outlineLevel="0" collapsed="false">
      <c r="A32" s="148" t="n">
        <f aca="false">A8</f>
        <v>36768</v>
      </c>
      <c r="B32" s="54" t="n">
        <f aca="false">'Alberta Curve'!O13</f>
        <v>59.4</v>
      </c>
      <c r="C32" s="54" t="n">
        <f aca="false">C8</f>
        <v>32</v>
      </c>
      <c r="D32" s="54" t="n">
        <f aca="false">AVERAGE(N32:Z32)</f>
        <v>62.978202834145</v>
      </c>
      <c r="E32" s="54" t="n">
        <f aca="false">AVERAGE(G32:AD32)</f>
        <v>50.2666666666667</v>
      </c>
      <c r="F32" s="54" t="n">
        <f aca="false">AVERAGE(AA32:AC32)</f>
        <v>43.8944543853715</v>
      </c>
      <c r="G32" s="54" t="n">
        <f aca="false">C32</f>
        <v>32</v>
      </c>
      <c r="H32" s="54" t="n">
        <f aca="false">G32</f>
        <v>32</v>
      </c>
      <c r="I32" s="54" t="n">
        <f aca="false">H32</f>
        <v>32</v>
      </c>
      <c r="J32" s="54" t="n">
        <f aca="false">I32</f>
        <v>32</v>
      </c>
      <c r="K32" s="54" t="n">
        <f aca="false">J32</f>
        <v>32</v>
      </c>
      <c r="L32" s="54" t="n">
        <f aca="false">K32</f>
        <v>32</v>
      </c>
      <c r="M32" s="54" t="n">
        <f aca="false">L32</f>
        <v>32</v>
      </c>
      <c r="N32" s="54" t="n">
        <f aca="false">$B32*'Alberta Curve'!AI17</f>
        <v>33.7792290817164</v>
      </c>
      <c r="O32" s="54" t="n">
        <f aca="false">$B32*'Alberta Curve'!AJ17</f>
        <v>38.5392029466827</v>
      </c>
      <c r="P32" s="54" t="n">
        <f aca="false">$B32*'Alberta Curve'!AK17</f>
        <v>45.87828289955</v>
      </c>
      <c r="Q32" s="54" t="n">
        <f aca="false">$B32*'Alberta Curve'!AL17</f>
        <v>54.6345216695331</v>
      </c>
      <c r="R32" s="54" t="n">
        <f aca="false">$B32*'Alberta Curve'!AM17</f>
        <v>65.9702791665451</v>
      </c>
      <c r="S32" s="54" t="n">
        <f aca="false">$B32*'Alberta Curve'!AN17</f>
        <v>80.1348736039058</v>
      </c>
      <c r="T32" s="54" t="n">
        <f aca="false">$B32*'Alberta Curve'!AO17</f>
        <v>80.1258247640073</v>
      </c>
      <c r="U32" s="54" t="n">
        <f aca="false">$B32*'Alberta Curve'!AP17</f>
        <v>78.7959682867148</v>
      </c>
      <c r="V32" s="54" t="n">
        <f aca="false">$B32*'Alberta Curve'!AQ17</f>
        <v>81.1484228518505</v>
      </c>
      <c r="W32" s="54" t="n">
        <f aca="false">$B32*'Alberta Curve'!AR17</f>
        <v>81.4572462959525</v>
      </c>
      <c r="X32" s="54" t="n">
        <f aca="false">$B32*'Alberta Curve'!AS17</f>
        <v>83.2620220586542</v>
      </c>
      <c r="Y32" s="54" t="n">
        <f aca="false">$B32*'Alberta Curve'!AT17</f>
        <v>50.5805749325113</v>
      </c>
      <c r="Z32" s="54" t="n">
        <f aca="false">$B32*'Alberta Curve'!AU17</f>
        <v>44.4101882862617</v>
      </c>
      <c r="AA32" s="54" t="n">
        <f aca="false">$B32*'Alberta Curve'!AV17</f>
        <v>43.7081579847051</v>
      </c>
      <c r="AB32" s="54" t="n">
        <f aca="false">$B32*'Alberta Curve'!AW17</f>
        <v>46.3394904003249</v>
      </c>
      <c r="AC32" s="54" t="n">
        <f aca="false">$B32*'Alberta Curve'!AX17</f>
        <v>41.6357147710845</v>
      </c>
      <c r="AD32" s="54" t="n">
        <f aca="false">C32</f>
        <v>32</v>
      </c>
    </row>
    <row r="33" customFormat="false" ht="12.75" hidden="false" customHeight="false" outlineLevel="0" collapsed="false">
      <c r="A33" s="148" t="n">
        <f aca="false">A9</f>
        <v>36799</v>
      </c>
      <c r="B33" s="54" t="n">
        <f aca="false">'Alberta Curve'!O14</f>
        <v>58.5</v>
      </c>
      <c r="C33" s="54" t="n">
        <f aca="false">C9</f>
        <v>32</v>
      </c>
      <c r="D33" s="54" t="n">
        <f aca="false">AVERAGE(N33:Z33)</f>
        <v>59.7103497596003</v>
      </c>
      <c r="E33" s="54" t="n">
        <f aca="false">AVERAGE(G33:AD33)</f>
        <v>49.6666666666667</v>
      </c>
      <c r="F33" s="54" t="n">
        <f aca="false">AVERAGE(AA33:AC33)</f>
        <v>53.2551510417322</v>
      </c>
      <c r="G33" s="54" t="n">
        <f aca="false">C33</f>
        <v>32</v>
      </c>
      <c r="H33" s="54" t="n">
        <f aca="false">G33</f>
        <v>32</v>
      </c>
      <c r="I33" s="54" t="n">
        <f aca="false">H33</f>
        <v>32</v>
      </c>
      <c r="J33" s="54" t="n">
        <f aca="false">I33</f>
        <v>32</v>
      </c>
      <c r="K33" s="54" t="n">
        <f aca="false">J33</f>
        <v>32</v>
      </c>
      <c r="L33" s="54" t="n">
        <f aca="false">K33</f>
        <v>32</v>
      </c>
      <c r="M33" s="54" t="n">
        <f aca="false">L33</f>
        <v>32</v>
      </c>
      <c r="N33" s="54" t="n">
        <f aca="false">$B33*'Alberta Curve'!AI18</f>
        <v>42.9720885071149</v>
      </c>
      <c r="O33" s="54" t="n">
        <f aca="false">$B33*'Alberta Curve'!AJ18</f>
        <v>46.932297536525</v>
      </c>
      <c r="P33" s="54" t="n">
        <f aca="false">$B33*'Alberta Curve'!AK18</f>
        <v>52.642912589785</v>
      </c>
      <c r="Q33" s="54" t="n">
        <f aca="false">$B33*'Alberta Curve'!AL18</f>
        <v>56.2676725007382</v>
      </c>
      <c r="R33" s="54" t="n">
        <f aca="false">$B33*'Alberta Curve'!AM18</f>
        <v>58.7852616158131</v>
      </c>
      <c r="S33" s="54" t="n">
        <f aca="false">$B33*'Alberta Curve'!AN18</f>
        <v>74.9653135395209</v>
      </c>
      <c r="T33" s="54" t="n">
        <f aca="false">$B33*'Alberta Curve'!AO18</f>
        <v>69.8311364487125</v>
      </c>
      <c r="U33" s="54" t="n">
        <f aca="false">$B33*'Alberta Curve'!AP18</f>
        <v>69.7204895824621</v>
      </c>
      <c r="V33" s="54" t="n">
        <f aca="false">$B33*'Alberta Curve'!AQ18</f>
        <v>73.1281456562535</v>
      </c>
      <c r="W33" s="54" t="n">
        <f aca="false">$B33*'Alberta Curve'!AR18</f>
        <v>65.1937809365527</v>
      </c>
      <c r="X33" s="54" t="n">
        <f aca="false">$B33*'Alberta Curve'!AS18</f>
        <v>60.1960167398134</v>
      </c>
      <c r="Y33" s="54" t="n">
        <f aca="false">$B33*'Alberta Curve'!AT18</f>
        <v>53.3102676874423</v>
      </c>
      <c r="Z33" s="54" t="n">
        <f aca="false">$B33*'Alberta Curve'!AU18</f>
        <v>52.2891635340699</v>
      </c>
      <c r="AA33" s="54" t="n">
        <f aca="false">$B33*'Alberta Curve'!AV18</f>
        <v>60.347180984529</v>
      </c>
      <c r="AB33" s="54" t="n">
        <f aca="false">$B33*'Alberta Curve'!AW18</f>
        <v>54.1493394847513</v>
      </c>
      <c r="AC33" s="54" t="n">
        <f aca="false">$B33*'Alberta Curve'!AX18</f>
        <v>45.2689326559163</v>
      </c>
      <c r="AD33" s="54" t="n">
        <f aca="false">C33</f>
        <v>32</v>
      </c>
    </row>
    <row r="34" customFormat="false" ht="12.75" hidden="false" customHeight="false" outlineLevel="0" collapsed="false">
      <c r="A34" s="148" t="n">
        <f aca="false">A10</f>
        <v>36829</v>
      </c>
      <c r="B34" s="54" t="n">
        <f aca="false">'Alberta Curve'!O15</f>
        <v>66.6</v>
      </c>
      <c r="C34" s="54" t="n">
        <f aca="false">C10</f>
        <v>33</v>
      </c>
      <c r="D34" s="54" t="n">
        <f aca="false">AVERAGE(N34:Z34)</f>
        <v>67.471544593311</v>
      </c>
      <c r="E34" s="54" t="n">
        <f aca="false">AVERAGE(G34:AD34)</f>
        <v>55.4</v>
      </c>
      <c r="F34" s="54" t="n">
        <f aca="false">AVERAGE(AA34:AC34)</f>
        <v>62.8233067623191</v>
      </c>
      <c r="G34" s="54" t="n">
        <f aca="false">C34</f>
        <v>33</v>
      </c>
      <c r="H34" s="54" t="n">
        <f aca="false">G34</f>
        <v>33</v>
      </c>
      <c r="I34" s="54" t="n">
        <f aca="false">H34</f>
        <v>33</v>
      </c>
      <c r="J34" s="54" t="n">
        <f aca="false">I34</f>
        <v>33</v>
      </c>
      <c r="K34" s="54" t="n">
        <f aca="false">J34</f>
        <v>33</v>
      </c>
      <c r="L34" s="54" t="n">
        <f aca="false">K34</f>
        <v>33</v>
      </c>
      <c r="M34" s="54" t="n">
        <f aca="false">L34</f>
        <v>33</v>
      </c>
      <c r="N34" s="54" t="n">
        <f aca="false">$B34*'Alberta Curve'!AI19</f>
        <v>52.8299492534856</v>
      </c>
      <c r="O34" s="54" t="n">
        <f aca="false">$B34*'Alberta Curve'!AJ19</f>
        <v>59.6434280508671</v>
      </c>
      <c r="P34" s="54" t="n">
        <f aca="false">$B34*'Alberta Curve'!AK19</f>
        <v>59.7595897209388</v>
      </c>
      <c r="Q34" s="54" t="n">
        <f aca="false">$B34*'Alberta Curve'!AL19</f>
        <v>64.0436229278107</v>
      </c>
      <c r="R34" s="54" t="n">
        <f aca="false">$B34*'Alberta Curve'!AM19</f>
        <v>71.6875058502908</v>
      </c>
      <c r="S34" s="54" t="n">
        <f aca="false">$B34*'Alberta Curve'!AN19</f>
        <v>69.0622347587776</v>
      </c>
      <c r="T34" s="54" t="n">
        <f aca="false">$B34*'Alberta Curve'!AO19</f>
        <v>65.4228859577301</v>
      </c>
      <c r="U34" s="54" t="n">
        <f aca="false">$B34*'Alberta Curve'!AP19</f>
        <v>66.8474581993018</v>
      </c>
      <c r="V34" s="54" t="n">
        <f aca="false">$B34*'Alberta Curve'!AQ19</f>
        <v>64.2167529172564</v>
      </c>
      <c r="W34" s="54" t="n">
        <f aca="false">$B34*'Alberta Curve'!AR19</f>
        <v>71.2717372157481</v>
      </c>
      <c r="X34" s="54" t="n">
        <f aca="false">$B34*'Alberta Curve'!AS19</f>
        <v>80.3815150752568</v>
      </c>
      <c r="Y34" s="54" t="n">
        <f aca="false">$B34*'Alberta Curve'!AT19</f>
        <v>73.5136430957525</v>
      </c>
      <c r="Z34" s="54" t="n">
        <f aca="false">$B34*'Alberta Curve'!AU19</f>
        <v>78.4497566898265</v>
      </c>
      <c r="AA34" s="54" t="n">
        <f aca="false">$B34*'Alberta Curve'!AV19</f>
        <v>75.7841746635661</v>
      </c>
      <c r="AB34" s="54" t="n">
        <f aca="false">$B34*'Alberta Curve'!AW19</f>
        <v>63.9132723524482</v>
      </c>
      <c r="AC34" s="54" t="n">
        <f aca="false">$B34*'Alberta Curve'!AX19</f>
        <v>48.7724732709431</v>
      </c>
      <c r="AD34" s="54" t="n">
        <f aca="false">C34</f>
        <v>33</v>
      </c>
    </row>
    <row r="35" customFormat="false" ht="12.75" hidden="false" customHeight="false" outlineLevel="0" collapsed="false">
      <c r="A35" s="148" t="n">
        <f aca="false">A11</f>
        <v>36860</v>
      </c>
      <c r="B35" s="54" t="n">
        <f aca="false">'Alberta Curve'!O16</f>
        <v>51.75</v>
      </c>
      <c r="C35" s="54" t="n">
        <f aca="false">C11</f>
        <v>28.75</v>
      </c>
      <c r="D35" s="54" t="n">
        <f aca="false">AVERAGE(N35:Z35)</f>
        <v>52.3884268066778</v>
      </c>
      <c r="E35" s="54" t="n">
        <f aca="false">AVERAGE(G35:AD35)</f>
        <v>44.0833333333333</v>
      </c>
      <c r="F35" s="54" t="n">
        <f aca="false">AVERAGE(AA35:AC35)</f>
        <v>48.9834838377296</v>
      </c>
      <c r="G35" s="54" t="n">
        <f aca="false">C35</f>
        <v>28.75</v>
      </c>
      <c r="H35" s="54" t="n">
        <f aca="false">G35</f>
        <v>28.75</v>
      </c>
      <c r="I35" s="54" t="n">
        <f aca="false">H35</f>
        <v>28.75</v>
      </c>
      <c r="J35" s="54" t="n">
        <f aca="false">I35</f>
        <v>28.75</v>
      </c>
      <c r="K35" s="54" t="n">
        <f aca="false">J35</f>
        <v>28.75</v>
      </c>
      <c r="L35" s="54" t="n">
        <f aca="false">K35</f>
        <v>28.75</v>
      </c>
      <c r="M35" s="54" t="n">
        <f aca="false">L35</f>
        <v>28.75</v>
      </c>
      <c r="N35" s="54" t="n">
        <f aca="false">$B35*'Alberta Curve'!AI20</f>
        <v>45.7760376770956</v>
      </c>
      <c r="O35" s="54" t="n">
        <f aca="false">$B35*'Alberta Curve'!AJ20</f>
        <v>49.4846168832013</v>
      </c>
      <c r="P35" s="54" t="n">
        <f aca="false">$B35*'Alberta Curve'!AK20</f>
        <v>50.4644457049069</v>
      </c>
      <c r="Q35" s="54" t="n">
        <f aca="false">$B35*'Alberta Curve'!AL20</f>
        <v>51.1347804570293</v>
      </c>
      <c r="R35" s="54" t="n">
        <f aca="false">$B35*'Alberta Curve'!AM20</f>
        <v>51.5806946912786</v>
      </c>
      <c r="S35" s="54" t="n">
        <f aca="false">$B35*'Alberta Curve'!AN20</f>
        <v>50.8444455588563</v>
      </c>
      <c r="T35" s="54" t="n">
        <f aca="false">$B35*'Alberta Curve'!AO20</f>
        <v>49.4621723131237</v>
      </c>
      <c r="U35" s="54" t="n">
        <f aca="false">$B35*'Alberta Curve'!AP20</f>
        <v>49.0666921041677</v>
      </c>
      <c r="V35" s="54" t="n">
        <f aca="false">$B35*'Alberta Curve'!AQ20</f>
        <v>49.7530911436262</v>
      </c>
      <c r="W35" s="54" t="n">
        <f aca="false">$B35*'Alberta Curve'!AR20</f>
        <v>55.8911465873462</v>
      </c>
      <c r="X35" s="54" t="n">
        <f aca="false">$B35*'Alberta Curve'!AS20</f>
        <v>66.3120542587023</v>
      </c>
      <c r="Y35" s="54" t="n">
        <f aca="false">$B35*'Alberta Curve'!AT20</f>
        <v>57.398294397352</v>
      </c>
      <c r="Z35" s="54" t="n">
        <f aca="false">$B35*'Alberta Curve'!AU20</f>
        <v>53.881076710125</v>
      </c>
      <c r="AA35" s="54" t="n">
        <f aca="false">$B35*'Alberta Curve'!AV20</f>
        <v>52.2072478759055</v>
      </c>
      <c r="AB35" s="54" t="n">
        <f aca="false">$B35*'Alberta Curve'!AW20</f>
        <v>50.130403096065</v>
      </c>
      <c r="AC35" s="54" t="n">
        <f aca="false">$B35*'Alberta Curve'!AX20</f>
        <v>44.6128005412185</v>
      </c>
      <c r="AD35" s="54" t="n">
        <f aca="false">C35</f>
        <v>28.75</v>
      </c>
    </row>
    <row r="36" customFormat="false" ht="12.75" hidden="false" customHeight="false" outlineLevel="0" collapsed="false">
      <c r="A36" s="148" t="n">
        <f aca="false">A12</f>
        <v>36890</v>
      </c>
      <c r="B36" s="54" t="n">
        <f aca="false">'Alberta Curve'!O17</f>
        <v>54.675</v>
      </c>
      <c r="C36" s="54" t="n">
        <f aca="false">C12</f>
        <v>28.75</v>
      </c>
      <c r="D36" s="54" t="n">
        <f aca="false">AVERAGE(N36:Z36)</f>
        <v>55.1313199775115</v>
      </c>
      <c r="E36" s="54" t="n">
        <f aca="false">AVERAGE(G36:AD36)</f>
        <v>46.1891479503217</v>
      </c>
      <c r="F36" s="54" t="n">
        <f aca="false">AVERAGE(AA36:AC36)</f>
        <v>53.9441303666902</v>
      </c>
      <c r="G36" s="54" t="n">
        <f aca="false">C36</f>
        <v>28.75</v>
      </c>
      <c r="H36" s="54" t="n">
        <f aca="false">G36</f>
        <v>28.75</v>
      </c>
      <c r="I36" s="54" t="n">
        <f aca="false">H36</f>
        <v>28.75</v>
      </c>
      <c r="J36" s="54" t="n">
        <f aca="false">I36</f>
        <v>28.75</v>
      </c>
      <c r="K36" s="54" t="n">
        <f aca="false">J36</f>
        <v>28.75</v>
      </c>
      <c r="L36" s="54" t="n">
        <f aca="false">K36</f>
        <v>28.75</v>
      </c>
      <c r="M36" s="54" t="n">
        <f aca="false">L36</f>
        <v>28.75</v>
      </c>
      <c r="N36" s="54" t="n">
        <f aca="false">$B36*'Alberta Curve'!AI21</f>
        <v>42.3414256683374</v>
      </c>
      <c r="O36" s="54" t="n">
        <f aca="false">$B36*'Alberta Curve'!AJ21</f>
        <v>47.464483394392</v>
      </c>
      <c r="P36" s="54" t="n">
        <f aca="false">$B36*'Alberta Curve'!AK21</f>
        <v>47.1767646599931</v>
      </c>
      <c r="Q36" s="54" t="n">
        <f aca="false">$B36*'Alberta Curve'!AL21</f>
        <v>49.6650346647125</v>
      </c>
      <c r="R36" s="54" t="n">
        <f aca="false">$B36*'Alberta Curve'!AM21</f>
        <v>47.1834360932055</v>
      </c>
      <c r="S36" s="54" t="n">
        <f aca="false">$B36*'Alberta Curve'!AN21</f>
        <v>46.3374258786217</v>
      </c>
      <c r="T36" s="54" t="n">
        <f aca="false">$B36*'Alberta Curve'!AO21</f>
        <v>45.7273529514424</v>
      </c>
      <c r="U36" s="54" t="n">
        <f aca="false">$B36*'Alberta Curve'!AP21</f>
        <v>44.5777776823041</v>
      </c>
      <c r="V36" s="54" t="n">
        <f aca="false">$B36*'Alberta Curve'!AQ21</f>
        <v>44.8677347681271</v>
      </c>
      <c r="W36" s="54" t="n">
        <f aca="false">$B36*'Alberta Curve'!AR21</f>
        <v>63.5547102630803</v>
      </c>
      <c r="X36" s="54" t="n">
        <f aca="false">$B36*'Alberta Curve'!AS21</f>
        <v>88.727007793467</v>
      </c>
      <c r="Y36" s="54" t="n">
        <f aca="false">$B36*'Alberta Curve'!AT21</f>
        <v>86.0237812392197</v>
      </c>
      <c r="Z36" s="54" t="n">
        <f aca="false">$B36*'Alberta Curve'!AU21</f>
        <v>63.060224650746</v>
      </c>
      <c r="AA36" s="54" t="n">
        <f aca="false">$B36*'Alberta Curve'!AV21</f>
        <v>62.2227949573953</v>
      </c>
      <c r="AB36" s="54" t="n">
        <f aca="false">$B36*'Alberta Curve'!AW21</f>
        <v>55.08310068946</v>
      </c>
      <c r="AC36" s="54" t="n">
        <f aca="false">$B36*'Alberta Curve'!AX21</f>
        <v>44.5264954532154</v>
      </c>
      <c r="AD36" s="54" t="n">
        <f aca="false">C36</f>
        <v>28.75</v>
      </c>
    </row>
    <row r="37" customFormat="false" ht="12.75" hidden="false" customHeight="false" outlineLevel="0" collapsed="false">
      <c r="A37" s="148" t="n">
        <v>36921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</row>
    <row r="38" customFormat="false" ht="12.75" hidden="false" customHeight="false" outlineLevel="0" collapsed="false">
      <c r="A38" s="148" t="n">
        <v>36950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39" customFormat="false" ht="12.75" hidden="false" customHeight="false" outlineLevel="0" collapsed="false">
      <c r="A39" s="148" t="n">
        <v>36980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</row>
    <row r="40" customFormat="false" ht="12.75" hidden="false" customHeight="false" outlineLevel="0" collapsed="false">
      <c r="A40" s="148" t="n">
        <v>37011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</row>
    <row r="41" customFormat="false" ht="12.75" hidden="false" customHeight="false" outlineLevel="0" collapsed="false">
      <c r="A41" s="148" t="n">
        <v>37041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</row>
    <row r="42" customFormat="false" ht="12.75" hidden="false" customHeight="false" outlineLevel="0" collapsed="false">
      <c r="A42" s="148" t="n">
        <v>37072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</row>
    <row r="43" customFormat="false" ht="12.75" hidden="false" customHeight="false" outlineLevel="0" collapsed="false">
      <c r="A43" s="148" t="n">
        <v>37102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</row>
    <row r="44" customFormat="false" ht="12.75" hidden="false" customHeight="false" outlineLevel="0" collapsed="false">
      <c r="A44" s="148" t="n">
        <v>37133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</row>
    <row r="45" customFormat="false" ht="12.75" hidden="false" customHeight="false" outlineLevel="0" collapsed="false">
      <c r="A45" s="148" t="n">
        <v>37164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</row>
    <row r="46" customFormat="false" ht="12.75" hidden="false" customHeight="false" outlineLevel="0" collapsed="false">
      <c r="A46" s="148" t="n">
        <v>37194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</row>
    <row r="47" customFormat="false" ht="12.75" hidden="false" customHeight="false" outlineLevel="0" collapsed="false">
      <c r="A47" s="148" t="n">
        <v>37225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</row>
    <row r="48" customFormat="false" ht="12.75" hidden="false" customHeight="false" outlineLevel="0" collapsed="false">
      <c r="A48" s="148" t="n">
        <v>37255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</row>
    <row r="49" customFormat="false" ht="12.75" hidden="false" customHeight="false" outlineLevel="0" collapsed="false">
      <c r="B49" s="54"/>
      <c r="C49" s="54"/>
      <c r="D49" s="54"/>
      <c r="E49" s="54"/>
      <c r="F49" s="54"/>
    </row>
    <row r="50" customFormat="false" ht="12.75" hidden="false" customHeight="false" outlineLevel="0" collapsed="false">
      <c r="A50" s="145" t="s">
        <v>217</v>
      </c>
      <c r="B50" s="54"/>
      <c r="C50" s="54"/>
      <c r="D50" s="54"/>
      <c r="E50" s="54"/>
      <c r="F50" s="54"/>
    </row>
    <row r="51" customFormat="false" ht="12.75" hidden="false" customHeight="false" outlineLevel="0" collapsed="false">
      <c r="B51" s="54"/>
      <c r="C51" s="54"/>
      <c r="D51" s="54"/>
      <c r="E51" s="54"/>
      <c r="F51" s="54"/>
    </row>
    <row r="52" customFormat="false" ht="12.75" hidden="false" customHeight="false" outlineLevel="0" collapsed="false">
      <c r="A52" s="146" t="s">
        <v>86</v>
      </c>
      <c r="B52" s="147" t="s">
        <v>214</v>
      </c>
      <c r="C52" s="147" t="s">
        <v>185</v>
      </c>
      <c r="D52" s="147" t="s">
        <v>215</v>
      </c>
      <c r="E52" s="147" t="s">
        <v>216</v>
      </c>
      <c r="F52" s="147" t="s">
        <v>188</v>
      </c>
      <c r="G52" s="3" t="s">
        <v>189</v>
      </c>
      <c r="H52" s="3" t="s">
        <v>190</v>
      </c>
      <c r="I52" s="3" t="s">
        <v>191</v>
      </c>
      <c r="J52" s="3" t="s">
        <v>192</v>
      </c>
      <c r="K52" s="3" t="s">
        <v>193</v>
      </c>
      <c r="L52" s="3" t="s">
        <v>194</v>
      </c>
      <c r="M52" s="3" t="s">
        <v>195</v>
      </c>
      <c r="N52" s="3" t="s">
        <v>196</v>
      </c>
      <c r="O52" s="3" t="s">
        <v>197</v>
      </c>
      <c r="P52" s="3" t="s">
        <v>198</v>
      </c>
      <c r="Q52" s="3" t="s">
        <v>199</v>
      </c>
      <c r="R52" s="3" t="s">
        <v>200</v>
      </c>
      <c r="S52" s="3" t="s">
        <v>201</v>
      </c>
      <c r="T52" s="3" t="s">
        <v>202</v>
      </c>
      <c r="U52" s="3" t="s">
        <v>203</v>
      </c>
      <c r="V52" s="3" t="s">
        <v>204</v>
      </c>
      <c r="W52" s="3" t="s">
        <v>205</v>
      </c>
      <c r="X52" s="3" t="s">
        <v>206</v>
      </c>
      <c r="Y52" s="3" t="s">
        <v>207</v>
      </c>
      <c r="Z52" s="3" t="s">
        <v>208</v>
      </c>
      <c r="AA52" s="3" t="s">
        <v>209</v>
      </c>
      <c r="AB52" s="3" t="s">
        <v>210</v>
      </c>
      <c r="AC52" s="3" t="s">
        <v>211</v>
      </c>
      <c r="AD52" s="3" t="s">
        <v>212</v>
      </c>
    </row>
    <row r="53" customFormat="false" ht="12.75" hidden="false" customHeight="false" outlineLevel="0" collapsed="false">
      <c r="A53" s="148" t="n">
        <f aca="false">A30</f>
        <v>36707</v>
      </c>
      <c r="B53" s="54" t="n">
        <f aca="false">'Alberta Curve'!S11</f>
        <v>49.9375</v>
      </c>
      <c r="C53" s="54" t="n">
        <f aca="false">C30</f>
        <v>35</v>
      </c>
      <c r="D53" s="54" t="n">
        <f aca="false">AVERAGE(N53:Z53)</f>
        <v>52.9488522636093</v>
      </c>
      <c r="E53" s="54" t="n">
        <f aca="false">AVERAGE(G53:AD53)</f>
        <v>44.9583333333333</v>
      </c>
      <c r="F53" s="54" t="n">
        <f aca="false">AVERAGE(AA53:AC53)</f>
        <v>36.8883068576931</v>
      </c>
      <c r="G53" s="54" t="n">
        <f aca="false">C53</f>
        <v>35</v>
      </c>
      <c r="H53" s="54" t="n">
        <f aca="false">G53</f>
        <v>35</v>
      </c>
      <c r="I53" s="54" t="n">
        <f aca="false">H53</f>
        <v>35</v>
      </c>
      <c r="J53" s="54" t="n">
        <f aca="false">I53</f>
        <v>35</v>
      </c>
      <c r="K53" s="54" t="n">
        <f aca="false">J53</f>
        <v>35</v>
      </c>
      <c r="L53" s="54" t="n">
        <f aca="false">K53</f>
        <v>35</v>
      </c>
      <c r="M53" s="54" t="n">
        <f aca="false">L53</f>
        <v>35</v>
      </c>
      <c r="N53" s="54" t="n">
        <f aca="false">$B53*'Alberta Curve'!AI15</f>
        <v>30.9439374280161</v>
      </c>
      <c r="O53" s="54" t="n">
        <f aca="false">$B53*'Alberta Curve'!AJ15</f>
        <v>38.028615542136</v>
      </c>
      <c r="P53" s="54" t="n">
        <f aca="false">$B53*'Alberta Curve'!AK15</f>
        <v>46.0456457244198</v>
      </c>
      <c r="Q53" s="54" t="n">
        <f aca="false">$B53*'Alberta Curve'!AL15</f>
        <v>53.3619037407087</v>
      </c>
      <c r="R53" s="54" t="n">
        <f aca="false">$B53*'Alberta Curve'!AM15</f>
        <v>61.9824769258695</v>
      </c>
      <c r="S53" s="54" t="n">
        <f aca="false">$B53*'Alberta Curve'!AN15</f>
        <v>68.6849298002684</v>
      </c>
      <c r="T53" s="54" t="n">
        <f aca="false">$B53*'Alberta Curve'!AO15</f>
        <v>60.2700995921371</v>
      </c>
      <c r="U53" s="54" t="n">
        <f aca="false">$B53*'Alberta Curve'!AP15</f>
        <v>60.8998440577261</v>
      </c>
      <c r="V53" s="54" t="n">
        <f aca="false">$B53*'Alberta Curve'!AQ15</f>
        <v>65.4611079379844</v>
      </c>
      <c r="W53" s="54" t="n">
        <f aca="false">$B53*'Alberta Curve'!AR15</f>
        <v>64.10635670078</v>
      </c>
      <c r="X53" s="54" t="n">
        <f aca="false">$B53*'Alberta Curve'!AS15</f>
        <v>56.24858150129</v>
      </c>
      <c r="Y53" s="54" t="n">
        <f aca="false">$B53*'Alberta Curve'!AT15</f>
        <v>43.073591637176</v>
      </c>
      <c r="Z53" s="54" t="n">
        <f aca="false">$B53*'Alberta Curve'!AU15</f>
        <v>39.2279888384086</v>
      </c>
      <c r="AA53" s="54" t="n">
        <f aca="false">$B53*'Alberta Curve'!AV15</f>
        <v>37.4611266507657</v>
      </c>
      <c r="AB53" s="54" t="n">
        <f aca="false">$B53*'Alberta Curve'!AW15</f>
        <v>37.0085909138073</v>
      </c>
      <c r="AC53" s="54" t="n">
        <f aca="false">$B53*'Alberta Curve'!AX15</f>
        <v>36.1952030085065</v>
      </c>
      <c r="AD53" s="54" t="n">
        <f aca="false">M53</f>
        <v>35</v>
      </c>
    </row>
    <row r="54" customFormat="false" ht="12.75" hidden="false" customHeight="false" outlineLevel="0" collapsed="false">
      <c r="A54" s="148" t="n">
        <f aca="false">A31</f>
        <v>36737</v>
      </c>
      <c r="B54" s="54" t="n">
        <f aca="false">'Alberta Curve'!S12</f>
        <v>50.575</v>
      </c>
      <c r="C54" s="54" t="n">
        <f aca="false">C31</f>
        <v>35</v>
      </c>
      <c r="D54" s="54" t="n">
        <f aca="false">AVERAGE(N54:Z54)</f>
        <v>52.7430812859646</v>
      </c>
      <c r="E54" s="54" t="n">
        <f aca="false">AVERAGE(G54:AD54)</f>
        <v>45.3833333333333</v>
      </c>
      <c r="F54" s="54" t="n">
        <f aca="false">AVERAGE(AA54:AC54)</f>
        <v>41.1799810941535</v>
      </c>
      <c r="G54" s="54" t="n">
        <f aca="false">C54</f>
        <v>35</v>
      </c>
      <c r="H54" s="54" t="n">
        <f aca="false">G54</f>
        <v>35</v>
      </c>
      <c r="I54" s="54" t="n">
        <f aca="false">H54</f>
        <v>35</v>
      </c>
      <c r="J54" s="54" t="n">
        <f aca="false">I54</f>
        <v>35</v>
      </c>
      <c r="K54" s="54" t="n">
        <f aca="false">J54</f>
        <v>35</v>
      </c>
      <c r="L54" s="54" t="n">
        <f aca="false">K54</f>
        <v>35</v>
      </c>
      <c r="M54" s="54" t="n">
        <f aca="false">L54</f>
        <v>35</v>
      </c>
      <c r="N54" s="54" t="n">
        <f aca="false">$B54*'Alberta Curve'!AI16</f>
        <v>33.1764269599108</v>
      </c>
      <c r="O54" s="54" t="n">
        <f aca="false">$B54*'Alberta Curve'!AJ16</f>
        <v>40.1130927549334</v>
      </c>
      <c r="P54" s="54" t="n">
        <f aca="false">$B54*'Alberta Curve'!AK16</f>
        <v>45.4713787112369</v>
      </c>
      <c r="Q54" s="54" t="n">
        <f aca="false">$B54*'Alberta Curve'!AL16</f>
        <v>51.7110788449224</v>
      </c>
      <c r="R54" s="54" t="n">
        <f aca="false">$B54*'Alberta Curve'!AM16</f>
        <v>61.3633832953438</v>
      </c>
      <c r="S54" s="54" t="n">
        <f aca="false">$B54*'Alberta Curve'!AN16</f>
        <v>68.2125236012132</v>
      </c>
      <c r="T54" s="54" t="n">
        <f aca="false">$B54*'Alberta Curve'!AO16</f>
        <v>57.7906312324057</v>
      </c>
      <c r="U54" s="54" t="n">
        <f aca="false">$B54*'Alberta Curve'!AP16</f>
        <v>58.3034649234715</v>
      </c>
      <c r="V54" s="54" t="n">
        <f aca="false">$B54*'Alberta Curve'!AQ16</f>
        <v>56.384708673197</v>
      </c>
      <c r="W54" s="54" t="n">
        <f aca="false">$B54*'Alberta Curve'!AR16</f>
        <v>69.8458996229746</v>
      </c>
      <c r="X54" s="54" t="n">
        <f aca="false">$B54*'Alberta Curve'!AS16</f>
        <v>52.5323437872507</v>
      </c>
      <c r="Y54" s="54" t="n">
        <f aca="false">$B54*'Alberta Curve'!AT16</f>
        <v>46.9397022832909</v>
      </c>
      <c r="Z54" s="54" t="n">
        <f aca="false">$B54*'Alberta Curve'!AU16</f>
        <v>43.8154220273886</v>
      </c>
      <c r="AA54" s="54" t="n">
        <f aca="false">$B54*'Alberta Curve'!AV16</f>
        <v>41.8372137721794</v>
      </c>
      <c r="AB54" s="54" t="n">
        <f aca="false">$B54*'Alberta Curve'!AW16</f>
        <v>40.7831201170845</v>
      </c>
      <c r="AC54" s="54" t="n">
        <f aca="false">$B54*'Alberta Curve'!AX16</f>
        <v>40.9196093931967</v>
      </c>
      <c r="AD54" s="54" t="n">
        <f aca="false">M54</f>
        <v>35</v>
      </c>
    </row>
    <row r="55" customFormat="false" ht="12.75" hidden="false" customHeight="false" outlineLevel="0" collapsed="false">
      <c r="A55" s="148" t="n">
        <f aca="false">A32</f>
        <v>36768</v>
      </c>
      <c r="B55" s="54" t="n">
        <f aca="false">'Alberta Curve'!S13</f>
        <v>56.1</v>
      </c>
      <c r="C55" s="54" t="n">
        <f aca="false">C32</f>
        <v>32</v>
      </c>
      <c r="D55" s="54" t="n">
        <f aca="false">AVERAGE(N55:Z55)</f>
        <v>59.4794137878037</v>
      </c>
      <c r="E55" s="54" t="n">
        <f aca="false">AVERAGE(G55:AD55)</f>
        <v>48.0666666666667</v>
      </c>
      <c r="F55" s="54" t="n">
        <f aca="false">AVERAGE(AA55:AC55)</f>
        <v>41.4558735861842</v>
      </c>
      <c r="G55" s="54" t="n">
        <f aca="false">C55</f>
        <v>32</v>
      </c>
      <c r="H55" s="54" t="n">
        <f aca="false">G55</f>
        <v>32</v>
      </c>
      <c r="I55" s="54" t="n">
        <f aca="false">H55</f>
        <v>32</v>
      </c>
      <c r="J55" s="54" t="n">
        <f aca="false">I55</f>
        <v>32</v>
      </c>
      <c r="K55" s="54" t="n">
        <f aca="false">J55</f>
        <v>32</v>
      </c>
      <c r="L55" s="54" t="n">
        <f aca="false">K55</f>
        <v>32</v>
      </c>
      <c r="M55" s="54" t="n">
        <f aca="false">L55</f>
        <v>32</v>
      </c>
      <c r="N55" s="54" t="n">
        <f aca="false">$B55*'Alberta Curve'!AI17</f>
        <v>31.9026052438432</v>
      </c>
      <c r="O55" s="54" t="n">
        <f aca="false">$B55*'Alberta Curve'!AJ17</f>
        <v>36.3981361163114</v>
      </c>
      <c r="P55" s="54" t="n">
        <f aca="false">$B55*'Alberta Curve'!AK17</f>
        <v>43.3294894051306</v>
      </c>
      <c r="Q55" s="54" t="n">
        <f aca="false">$B55*'Alberta Curve'!AL17</f>
        <v>51.5992704656701</v>
      </c>
      <c r="R55" s="54" t="n">
        <f aca="false">$B55*'Alberta Curve'!AM17</f>
        <v>62.3052636572926</v>
      </c>
      <c r="S55" s="54" t="n">
        <f aca="false">$B55*'Alberta Curve'!AN17</f>
        <v>75.6829361814666</v>
      </c>
      <c r="T55" s="54" t="n">
        <f aca="false">$B55*'Alberta Curve'!AO17</f>
        <v>75.6743900548958</v>
      </c>
      <c r="U55" s="54" t="n">
        <f aca="false">$B55*'Alberta Curve'!AP17</f>
        <v>74.4184144930085</v>
      </c>
      <c r="V55" s="54" t="n">
        <f aca="false">$B55*'Alberta Curve'!AQ17</f>
        <v>76.6401771378588</v>
      </c>
      <c r="W55" s="54" t="n">
        <f aca="false">$B55*'Alberta Curve'!AR17</f>
        <v>76.9318437239552</v>
      </c>
      <c r="X55" s="54" t="n">
        <f aca="false">$B55*'Alberta Curve'!AS17</f>
        <v>78.6363541665068</v>
      </c>
      <c r="Y55" s="54" t="n">
        <f aca="false">$B55*'Alberta Curve'!AT17</f>
        <v>47.7705429918163</v>
      </c>
      <c r="Z55" s="54" t="n">
        <f aca="false">$B55*'Alberta Curve'!AU17</f>
        <v>41.9429556036916</v>
      </c>
      <c r="AA55" s="54" t="n">
        <f aca="false">$B55*'Alberta Curve'!AV17</f>
        <v>41.2799269855548</v>
      </c>
      <c r="AB55" s="54" t="n">
        <f aca="false">$B55*'Alberta Curve'!AW17</f>
        <v>43.7650742669736</v>
      </c>
      <c r="AC55" s="54" t="n">
        <f aca="false">$B55*'Alberta Curve'!AX17</f>
        <v>39.3226195060243</v>
      </c>
      <c r="AD55" s="54" t="n">
        <f aca="false">M55</f>
        <v>32</v>
      </c>
    </row>
    <row r="56" customFormat="false" ht="12.75" hidden="false" customHeight="false" outlineLevel="0" collapsed="false">
      <c r="A56" s="148" t="n">
        <f aca="false">A33</f>
        <v>36799</v>
      </c>
      <c r="B56" s="54" t="n">
        <f aca="false">'Alberta Curve'!S14</f>
        <v>55.25</v>
      </c>
      <c r="C56" s="54" t="n">
        <f aca="false">C33</f>
        <v>32</v>
      </c>
      <c r="D56" s="54" t="n">
        <f aca="false">AVERAGE(N56:Z56)</f>
        <v>56.3931081062891</v>
      </c>
      <c r="E56" s="54" t="n">
        <f aca="false">AVERAGE(G56:AD56)</f>
        <v>47.5</v>
      </c>
      <c r="F56" s="54" t="n">
        <f aca="false">AVERAGE(AA56:AC56)</f>
        <v>50.2965315394137</v>
      </c>
      <c r="G56" s="54" t="n">
        <f aca="false">C56</f>
        <v>32</v>
      </c>
      <c r="H56" s="54" t="n">
        <f aca="false">G56</f>
        <v>32</v>
      </c>
      <c r="I56" s="54" t="n">
        <f aca="false">H56</f>
        <v>32</v>
      </c>
      <c r="J56" s="54" t="n">
        <f aca="false">I56</f>
        <v>32</v>
      </c>
      <c r="K56" s="54" t="n">
        <f aca="false">J56</f>
        <v>32</v>
      </c>
      <c r="L56" s="54" t="n">
        <f aca="false">K56</f>
        <v>32</v>
      </c>
      <c r="M56" s="54" t="n">
        <f aca="false">L56</f>
        <v>32</v>
      </c>
      <c r="N56" s="54" t="n">
        <f aca="false">$B56*'Alberta Curve'!AI18</f>
        <v>40.5847502567196</v>
      </c>
      <c r="O56" s="54" t="n">
        <f aca="false">$B56*'Alberta Curve'!AJ18</f>
        <v>44.3249476733848</v>
      </c>
      <c r="P56" s="54" t="n">
        <f aca="false">$B56*'Alberta Curve'!AK18</f>
        <v>49.7183063347969</v>
      </c>
      <c r="Q56" s="54" t="n">
        <f aca="false">$B56*'Alberta Curve'!AL18</f>
        <v>53.1416906951417</v>
      </c>
      <c r="R56" s="54" t="n">
        <f aca="false">$B56*'Alberta Curve'!AM18</f>
        <v>55.519413748268</v>
      </c>
      <c r="S56" s="54" t="n">
        <f aca="false">$B56*'Alberta Curve'!AN18</f>
        <v>70.8005738984364</v>
      </c>
      <c r="T56" s="54" t="n">
        <f aca="false">$B56*'Alberta Curve'!AO18</f>
        <v>65.9516288682285</v>
      </c>
      <c r="U56" s="54" t="n">
        <f aca="false">$B56*'Alberta Curve'!AP18</f>
        <v>65.8471290501031</v>
      </c>
      <c r="V56" s="54" t="n">
        <f aca="false">$B56*'Alberta Curve'!AQ18</f>
        <v>69.0654708975727</v>
      </c>
      <c r="W56" s="54" t="n">
        <f aca="false">$B56*'Alberta Curve'!AR18</f>
        <v>61.5719042178553</v>
      </c>
      <c r="X56" s="54" t="n">
        <f aca="false">$B56*'Alberta Curve'!AS18</f>
        <v>56.8517935876015</v>
      </c>
      <c r="Y56" s="54" t="n">
        <f aca="false">$B56*'Alberta Curve'!AT18</f>
        <v>50.3485861492511</v>
      </c>
      <c r="Z56" s="54" t="n">
        <f aca="false">$B56*'Alberta Curve'!AU18</f>
        <v>49.3842100043993</v>
      </c>
      <c r="AA56" s="54" t="n">
        <f aca="false">$B56*'Alberta Curve'!AV18</f>
        <v>56.9945598187218</v>
      </c>
      <c r="AB56" s="54" t="n">
        <f aca="false">$B56*'Alberta Curve'!AW18</f>
        <v>51.1410428467096</v>
      </c>
      <c r="AC56" s="54" t="n">
        <f aca="false">$B56*'Alberta Curve'!AX18</f>
        <v>42.7539919528098</v>
      </c>
      <c r="AD56" s="54" t="n">
        <f aca="false">M56</f>
        <v>32</v>
      </c>
    </row>
    <row r="57" customFormat="false" ht="12.75" hidden="false" customHeight="false" outlineLevel="0" collapsed="false">
      <c r="A57" s="148" t="n">
        <f aca="false">A34</f>
        <v>36829</v>
      </c>
      <c r="B57" s="54" t="n">
        <f aca="false">'Alberta Curve'!S15</f>
        <v>62.9</v>
      </c>
      <c r="C57" s="54" t="n">
        <f aca="false">C34</f>
        <v>33</v>
      </c>
      <c r="D57" s="54" t="n">
        <f aca="false">AVERAGE(N57:Z57)</f>
        <v>63.7231254492381</v>
      </c>
      <c r="E57" s="54" t="n">
        <f aca="false">AVERAGE(G57:AD57)</f>
        <v>52.9333333333333</v>
      </c>
      <c r="F57" s="54" t="n">
        <f aca="false">AVERAGE(AA57:AC57)</f>
        <v>59.3331230533014</v>
      </c>
      <c r="G57" s="54" t="n">
        <f aca="false">C57</f>
        <v>33</v>
      </c>
      <c r="H57" s="54" t="n">
        <f aca="false">G57</f>
        <v>33</v>
      </c>
      <c r="I57" s="54" t="n">
        <f aca="false">H57</f>
        <v>33</v>
      </c>
      <c r="J57" s="54" t="n">
        <f aca="false">I57</f>
        <v>33</v>
      </c>
      <c r="K57" s="54" t="n">
        <f aca="false">J57</f>
        <v>33</v>
      </c>
      <c r="L57" s="54" t="n">
        <f aca="false">K57</f>
        <v>33</v>
      </c>
      <c r="M57" s="54" t="n">
        <f aca="false">L57</f>
        <v>33</v>
      </c>
      <c r="N57" s="54" t="n">
        <f aca="false">$B57*'Alberta Curve'!AI19</f>
        <v>49.8949520727364</v>
      </c>
      <c r="O57" s="54" t="n">
        <f aca="false">$B57*'Alberta Curve'!AJ19</f>
        <v>56.3299042702633</v>
      </c>
      <c r="P57" s="54" t="n">
        <f aca="false">$B57*'Alberta Curve'!AK19</f>
        <v>56.43961251422</v>
      </c>
      <c r="Q57" s="54" t="n">
        <f aca="false">$B57*'Alberta Curve'!AL19</f>
        <v>60.4856438762657</v>
      </c>
      <c r="R57" s="54" t="n">
        <f aca="false">$B57*'Alberta Curve'!AM19</f>
        <v>67.7048666363857</v>
      </c>
      <c r="S57" s="54" t="n">
        <f aca="false">$B57*'Alberta Curve'!AN19</f>
        <v>65.2254439388455</v>
      </c>
      <c r="T57" s="54" t="n">
        <f aca="false">$B57*'Alberta Curve'!AO19</f>
        <v>61.7882811823007</v>
      </c>
      <c r="U57" s="54" t="n">
        <f aca="false">$B57*'Alberta Curve'!AP19</f>
        <v>63.1337105215628</v>
      </c>
      <c r="V57" s="54" t="n">
        <f aca="false">$B57*'Alberta Curve'!AQ19</f>
        <v>60.6491555329644</v>
      </c>
      <c r="W57" s="54" t="n">
        <f aca="false">$B57*'Alberta Curve'!AR19</f>
        <v>67.3121962593176</v>
      </c>
      <c r="X57" s="54" t="n">
        <f aca="false">$B57*'Alberta Curve'!AS19</f>
        <v>75.9158753488537</v>
      </c>
      <c r="Y57" s="54" t="n">
        <f aca="false">$B57*'Alberta Curve'!AT19</f>
        <v>69.4295518126552</v>
      </c>
      <c r="Z57" s="54" t="n">
        <f aca="false">$B57*'Alberta Curve'!AU19</f>
        <v>74.091436873725</v>
      </c>
      <c r="AA57" s="54" t="n">
        <f aca="false">$B57*'Alberta Curve'!AV19</f>
        <v>71.5739427378124</v>
      </c>
      <c r="AB57" s="54" t="n">
        <f aca="false">$B57*'Alberta Curve'!AW19</f>
        <v>60.3625349995344</v>
      </c>
      <c r="AC57" s="54" t="n">
        <f aca="false">$B57*'Alberta Curve'!AX19</f>
        <v>46.0628914225574</v>
      </c>
      <c r="AD57" s="54" t="n">
        <f aca="false">M57</f>
        <v>33</v>
      </c>
    </row>
    <row r="58" customFormat="false" ht="12.75" hidden="false" customHeight="false" outlineLevel="0" collapsed="false">
      <c r="A58" s="148" t="n">
        <f aca="false">A35</f>
        <v>36860</v>
      </c>
      <c r="B58" s="54" t="n">
        <f aca="false">'Alberta Curve'!S16</f>
        <v>48.875</v>
      </c>
      <c r="C58" s="54" t="n">
        <f aca="false">C35</f>
        <v>28.75</v>
      </c>
      <c r="D58" s="54" t="n">
        <f aca="false">AVERAGE(N58:Z58)</f>
        <v>49.4779586507512</v>
      </c>
      <c r="E58" s="54" t="n">
        <f aca="false">AVERAGE(G58:AD58)</f>
        <v>42.1666666666667</v>
      </c>
      <c r="F58" s="54" t="n">
        <f aca="false">AVERAGE(AA58:AC58)</f>
        <v>46.262179180078</v>
      </c>
      <c r="G58" s="54" t="n">
        <f aca="false">C58</f>
        <v>28.75</v>
      </c>
      <c r="H58" s="54" t="n">
        <f aca="false">G58</f>
        <v>28.75</v>
      </c>
      <c r="I58" s="54" t="n">
        <f aca="false">H58</f>
        <v>28.75</v>
      </c>
      <c r="J58" s="54" t="n">
        <f aca="false">I58</f>
        <v>28.75</v>
      </c>
      <c r="K58" s="54" t="n">
        <f aca="false">J58</f>
        <v>28.75</v>
      </c>
      <c r="L58" s="54" t="n">
        <f aca="false">K58</f>
        <v>28.75</v>
      </c>
      <c r="M58" s="54" t="n">
        <f aca="false">L58</f>
        <v>28.75</v>
      </c>
      <c r="N58" s="54" t="n">
        <f aca="false">$B58*'Alberta Curve'!AI20</f>
        <v>43.2329244728125</v>
      </c>
      <c r="O58" s="54" t="n">
        <f aca="false">$B58*'Alberta Curve'!AJ20</f>
        <v>46.7354715008012</v>
      </c>
      <c r="P58" s="54" t="n">
        <f aca="false">$B58*'Alberta Curve'!AK20</f>
        <v>47.6608653879676</v>
      </c>
      <c r="Q58" s="54" t="n">
        <f aca="false">$B58*'Alberta Curve'!AL20</f>
        <v>48.2939593205277</v>
      </c>
      <c r="R58" s="54" t="n">
        <f aca="false">$B58*'Alberta Curve'!AM20</f>
        <v>48.7151005417631</v>
      </c>
      <c r="S58" s="54" t="n">
        <f aca="false">$B58*'Alberta Curve'!AN20</f>
        <v>48.0197541389198</v>
      </c>
      <c r="T58" s="54" t="n">
        <f aca="false">$B58*'Alberta Curve'!AO20</f>
        <v>46.7142738512835</v>
      </c>
      <c r="U58" s="54" t="n">
        <f aca="false">$B58*'Alberta Curve'!AP20</f>
        <v>46.3407647650473</v>
      </c>
      <c r="V58" s="54" t="n">
        <f aca="false">$B58*'Alberta Curve'!AQ20</f>
        <v>46.9890305245359</v>
      </c>
      <c r="W58" s="54" t="n">
        <f aca="false">$B58*'Alberta Curve'!AR20</f>
        <v>52.7860828880492</v>
      </c>
      <c r="X58" s="54" t="n">
        <f aca="false">$B58*'Alberta Curve'!AS20</f>
        <v>62.6280512443299</v>
      </c>
      <c r="Y58" s="54" t="n">
        <f aca="false">$B58*'Alberta Curve'!AT20</f>
        <v>54.2095002641658</v>
      </c>
      <c r="Z58" s="54" t="n">
        <f aca="false">$B58*'Alberta Curve'!AU20</f>
        <v>50.8876835595625</v>
      </c>
      <c r="AA58" s="54" t="n">
        <f aca="false">$B58*'Alberta Curve'!AV20</f>
        <v>49.3068452161329</v>
      </c>
      <c r="AB58" s="54" t="n">
        <f aca="false">$B58*'Alberta Curve'!AW20</f>
        <v>47.3453807018392</v>
      </c>
      <c r="AC58" s="54" t="n">
        <f aca="false">$B58*'Alberta Curve'!AX20</f>
        <v>42.1343116222619</v>
      </c>
      <c r="AD58" s="54" t="n">
        <f aca="false">M58</f>
        <v>28.75</v>
      </c>
    </row>
    <row r="59" customFormat="false" ht="12.75" hidden="false" customHeight="false" outlineLevel="0" collapsed="false">
      <c r="A59" s="148" t="n">
        <f aca="false">A36</f>
        <v>36890</v>
      </c>
      <c r="B59" s="54" t="n">
        <f aca="false">'Alberta Curve'!S17</f>
        <v>51.6375</v>
      </c>
      <c r="C59" s="54" t="n">
        <f aca="false">C36</f>
        <v>28.75</v>
      </c>
      <c r="D59" s="54" t="n">
        <f aca="false">AVERAGE(N59:Z59)</f>
        <v>52.0684688676497</v>
      </c>
      <c r="E59" s="54" t="n">
        <f aca="false">AVERAGE(G59:AD59)</f>
        <v>44.1554915827112</v>
      </c>
      <c r="F59" s="54" t="n">
        <f aca="false">AVERAGE(AA59:AC59)</f>
        <v>50.9472342352074</v>
      </c>
      <c r="G59" s="54" t="n">
        <f aca="false">C59</f>
        <v>28.75</v>
      </c>
      <c r="H59" s="54" t="n">
        <f aca="false">G59</f>
        <v>28.75</v>
      </c>
      <c r="I59" s="54" t="n">
        <f aca="false">H59</f>
        <v>28.75</v>
      </c>
      <c r="J59" s="54" t="n">
        <f aca="false">I59</f>
        <v>28.75</v>
      </c>
      <c r="K59" s="54" t="n">
        <f aca="false">J59</f>
        <v>28.75</v>
      </c>
      <c r="L59" s="54" t="n">
        <f aca="false">K59</f>
        <v>28.75</v>
      </c>
      <c r="M59" s="54" t="n">
        <f aca="false">L59</f>
        <v>28.75</v>
      </c>
      <c r="N59" s="54" t="n">
        <f aca="false">$B59*'Alberta Curve'!AI21</f>
        <v>39.9891242423186</v>
      </c>
      <c r="O59" s="54" t="n">
        <f aca="false">$B59*'Alberta Curve'!AJ21</f>
        <v>44.8275676502591</v>
      </c>
      <c r="P59" s="54" t="n">
        <f aca="false">$B59*'Alberta Curve'!AK21</f>
        <v>44.5558332899935</v>
      </c>
      <c r="Q59" s="54" t="n">
        <f aca="false">$B59*'Alberta Curve'!AL21</f>
        <v>46.9058660722285</v>
      </c>
      <c r="R59" s="54" t="n">
        <f aca="false">$B59*'Alberta Curve'!AM21</f>
        <v>44.5621340880275</v>
      </c>
      <c r="S59" s="54" t="n">
        <f aca="false">$B59*'Alberta Curve'!AN21</f>
        <v>43.7631244409205</v>
      </c>
      <c r="T59" s="54" t="n">
        <f aca="false">$B59*'Alberta Curve'!AO21</f>
        <v>43.18694445414</v>
      </c>
      <c r="U59" s="54" t="n">
        <f aca="false">$B59*'Alberta Curve'!AP21</f>
        <v>42.1012344777316</v>
      </c>
      <c r="V59" s="54" t="n">
        <f aca="false">$B59*'Alberta Curve'!AQ21</f>
        <v>42.3750828365645</v>
      </c>
      <c r="W59" s="54" t="n">
        <f aca="false">$B59*'Alberta Curve'!AR21</f>
        <v>60.0238930262425</v>
      </c>
      <c r="X59" s="54" t="n">
        <f aca="false">$B59*'Alberta Curve'!AS21</f>
        <v>83.7977295827188</v>
      </c>
      <c r="Y59" s="54" t="n">
        <f aca="false">$B59*'Alberta Curve'!AT21</f>
        <v>81.2446822814853</v>
      </c>
      <c r="Z59" s="54" t="n">
        <f aca="false">$B59*'Alberta Curve'!AU21</f>
        <v>59.5568788368157</v>
      </c>
      <c r="AA59" s="54" t="n">
        <f aca="false">$B59*'Alberta Curve'!AV21</f>
        <v>58.7659730153178</v>
      </c>
      <c r="AB59" s="54" t="n">
        <f aca="false">$B59*'Alberta Curve'!AW21</f>
        <v>52.0229284289344</v>
      </c>
      <c r="AC59" s="54" t="n">
        <f aca="false">$B59*'Alberta Curve'!AX21</f>
        <v>42.0528012613701</v>
      </c>
      <c r="AD59" s="54" t="n">
        <f aca="false">M59</f>
        <v>28.75</v>
      </c>
    </row>
    <row r="60" customFormat="false" ht="12.75" hidden="false" customHeight="false" outlineLevel="0" collapsed="false">
      <c r="A60" s="148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</row>
    <row r="61" customFormat="false" ht="12.75" hidden="false" customHeight="false" outlineLevel="0" collapsed="false">
      <c r="A61" s="148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customFormat="false" ht="12.75" hidden="false" customHeight="false" outlineLevel="0" collapsed="false">
      <c r="A62" s="148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</row>
    <row r="63" customFormat="false" ht="12.75" hidden="false" customHeight="false" outlineLevel="0" collapsed="false">
      <c r="A63" s="148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</row>
    <row r="64" customFormat="false" ht="12.75" hidden="false" customHeight="false" outlineLevel="0" collapsed="false">
      <c r="A64" s="148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</row>
    <row r="65" customFormat="false" ht="12.75" hidden="false" customHeight="false" outlineLevel="0" collapsed="false">
      <c r="A65" s="148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customFormat="false" ht="12.75" hidden="false" customHeight="false" outlineLevel="0" collapsed="false">
      <c r="A66" s="148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customFormat="false" ht="12.75" hidden="false" customHeight="false" outlineLevel="0" collapsed="false">
      <c r="A67" s="148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customFormat="false" ht="12.75" hidden="false" customHeight="false" outlineLevel="0" collapsed="false">
      <c r="A68" s="148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customFormat="false" ht="12.75" hidden="false" customHeight="false" outlineLevel="0" collapsed="false">
      <c r="A69" s="148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customFormat="false" ht="12.75" hidden="false" customHeight="false" outlineLevel="0" collapsed="false">
      <c r="A70" s="148"/>
    </row>
    <row r="71" customFormat="false" ht="12.75" hidden="false" customHeight="false" outlineLevel="0" collapsed="false">
      <c r="A71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1999-08-24T11:33:29Z</dcterms:created>
  <dc:creator>bgreeni</dc:creator>
  <dc:description/>
  <dc:language>en-US</dc:language>
  <cp:lastModifiedBy>kreeve1</cp:lastModifiedBy>
  <cp:lastPrinted>2000-06-19T20:30:00Z</cp:lastPrinted>
  <cp:revision>0</cp:revision>
  <dc:subject/>
  <dc:title/>
</cp:coreProperties>
</file>