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&amp;E Corp. " sheetId="1" state="visible" r:id="rId3"/>
    <sheet name="Edison Int'l " sheetId="2" state="visible" r:id="rId4"/>
    <sheet name="Px - ISO " sheetId="3" state="visible" r:id="rId5"/>
    <sheet name="By Enron Entity" sheetId="4" state="visible" r:id="rId6"/>
    <sheet name="Summary" sheetId="5" state="hidden" r:id="rId7"/>
  </sheets>
  <definedNames>
    <definedName function="false" hidden="false" localSheetId="3" name="_xlnm.Print_Area" vbProcedure="false">'By Enron Entity'!$A$1:$I$29</definedName>
    <definedName function="false" hidden="false" localSheetId="1" name="_xlnm.Print_Area" vbProcedure="false">'Edison Int''l '!$A$1:$T$37</definedName>
    <definedName function="false" hidden="false" localSheetId="0" name="_xlnm.Print_Area" vbProcedure="false">'PG&amp;E Corp. '!$A$1:$T$70</definedName>
    <definedName function="false" hidden="false" localSheetId="2" name="_xlnm.Print_Area" vbProcedure="false">'Px - ISO '!$A$1:$M$47</definedName>
    <definedName function="false" hidden="false" localSheetId="4" name="_xlnm.Print_Area" vbProcedure="false">Summary!$A$6:$J$87</definedName>
    <definedName function="false" hidden="false" localSheetId="4" name="_xlnm.Print_Titles" vbProcedure="false">Summary!$1:$5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4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London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21</xdr:row>
                <xdr:rowOff>11</xdr:rowOff>
              </xdr:from>
              <xdr:to>
                <xdr:col>12</xdr:col>
                <xdr:colOff>-33</xdr:colOff>
                <xdr:row>26</xdr:row>
                <xdr:rowOff>9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Settlements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170</xdr:colOff>
                <xdr:row>7</xdr:row>
                <xdr:rowOff>11</xdr:rowOff>
              </xdr:from>
              <xdr:to>
                <xdr:col>16</xdr:col>
                <xdr:colOff>122</xdr:colOff>
                <xdr:row>10</xdr:row>
                <xdr:rowOff>21</xdr:rowOff>
              </xdr:to>
            </anchor>
          </commentPr>
        </mc:Choice>
        <mc:Fallback/>
      </mc:AlternateContent>
    </comment>
    <comment ref="F11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Wanda Curry - PG&amp;E shows they owe EES and EEMC a total of $325MM.  We are showing we owe them $25-$50MM less but are using there figure, hoping to validate.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168</xdr:colOff>
                <xdr:row>9</xdr:row>
                <xdr:rowOff>11</xdr:rowOff>
              </xdr:from>
              <xdr:to>
                <xdr:col>17</xdr:col>
                <xdr:colOff>40</xdr:colOff>
                <xdr:row>11</xdr:row>
                <xdr:rowOff>31</xdr:rowOff>
              </xdr:to>
            </anchor>
          </commentPr>
        </mc:Choice>
        <mc:Fallback/>
      </mc:AlternateContent>
    </comment>
    <comment ref="F12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Wanda Curry - PG&amp;E shows they owe EES and EEMC a total of $325MM.  We are showing we owe them $25-$50MM less but are using there figure, hoping to validate.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168</xdr:colOff>
                <xdr:row>10</xdr:row>
                <xdr:rowOff>52</xdr:rowOff>
              </xdr:from>
              <xdr:to>
                <xdr:col>17</xdr:col>
                <xdr:colOff>15</xdr:colOff>
                <xdr:row>12</xdr:row>
                <xdr:rowOff>1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Unbilled receivable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150</xdr:colOff>
                <xdr:row>20</xdr:row>
                <xdr:rowOff>9</xdr:rowOff>
              </xdr:from>
              <xdr:to>
                <xdr:col>16</xdr:col>
                <xdr:colOff>102</xdr:colOff>
                <xdr:row>24</xdr:row>
                <xdr:rowOff>17</xdr:rowOff>
              </xdr:to>
            </anchor>
          </commentPr>
        </mc:Choice>
        <mc:Fallback/>
      </mc:AlternateContent>
    </comment>
    <comment ref="F28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Settlements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170</xdr:colOff>
                <xdr:row>26</xdr:row>
                <xdr:rowOff>12</xdr:rowOff>
              </xdr:from>
              <xdr:to>
                <xdr:col>16</xdr:col>
                <xdr:colOff>122</xdr:colOff>
                <xdr:row>28</xdr:row>
                <xdr:rowOff>1</xdr:rowOff>
              </xdr:to>
            </anchor>
          </commentPr>
        </mc:Choice>
        <mc:Fallback/>
      </mc:AlternateContent>
    </comment>
    <comment ref="F45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CAS 03/09/01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150</xdr:colOff>
                <xdr:row>51</xdr:row>
                <xdr:rowOff>19</xdr:rowOff>
              </xdr:from>
              <xdr:to>
                <xdr:col>16</xdr:col>
                <xdr:colOff>102</xdr:colOff>
                <xdr:row>61</xdr:row>
                <xdr:rowOff>6</xdr:rowOff>
              </xdr:to>
            </anchor>
          </commentPr>
        </mc:Choice>
        <mc:Fallback/>
      </mc:AlternateContent>
    </comment>
    <comment ref="G13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Intramonth receivable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118</xdr:colOff>
                <xdr:row>12</xdr:row>
                <xdr:rowOff>4</xdr:rowOff>
              </xdr:from>
              <xdr:to>
                <xdr:col>17</xdr:col>
                <xdr:colOff>102</xdr:colOff>
                <xdr:row>15</xdr:row>
                <xdr:rowOff>12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Unbilled payable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118</xdr:colOff>
                <xdr:row>20</xdr:row>
                <xdr:rowOff>9</xdr:rowOff>
              </xdr:from>
              <xdr:to>
                <xdr:col>17</xdr:col>
                <xdr:colOff>102</xdr:colOff>
                <xdr:row>24</xdr:row>
                <xdr:rowOff>17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Settlements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138</xdr:colOff>
                <xdr:row>26</xdr:row>
                <xdr:rowOff>12</xdr:rowOff>
              </xdr:from>
              <xdr:to>
                <xdr:col>17</xdr:col>
                <xdr:colOff>122</xdr:colOff>
                <xdr:row>28</xdr:row>
                <xdr:rowOff>1</xdr:rowOff>
              </xdr:to>
            </anchor>
          </commentPr>
        </mc:Choice>
        <mc:Fallback/>
      </mc:AlternateContent>
    </comment>
    <comment ref="G43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Includes ENA physical gas and swaps.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17</xdr:col>
                <xdr:colOff>62</xdr:colOff>
                <xdr:row>50</xdr:row>
                <xdr:rowOff>9</xdr:rowOff>
              </xdr:from>
              <xdr:to>
                <xdr:col>18</xdr:col>
                <xdr:colOff>46</xdr:colOff>
                <xdr:row>58</xdr:row>
                <xdr:rowOff>16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Includes $723,600 payable as a result of assigments.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271</xdr:colOff>
                <xdr:row>25</xdr:row>
                <xdr:rowOff>13</xdr:rowOff>
              </xdr:from>
              <xdr:to>
                <xdr:col>19</xdr:col>
                <xdr:colOff>62</xdr:colOff>
                <xdr:row>28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9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London, not on CAS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3</xdr:rowOff>
              </xdr:from>
              <xdr:to>
                <xdr:col>11</xdr:col>
                <xdr:colOff>9</xdr:colOff>
                <xdr:row>21</xdr:row>
                <xdr:rowOff>35</xdr:rowOff>
              </xdr:to>
            </anchor>
          </commentPr>
        </mc:Choice>
        <mc:Fallback/>
      </mc:AlternateContent>
    </comment>
    <comment ref="E17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London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16</xdr:row>
                <xdr:rowOff>0</xdr:rowOff>
              </xdr:from>
              <xdr:to>
                <xdr:col>12</xdr:col>
                <xdr:colOff>-23</xdr:colOff>
                <xdr:row>17</xdr:row>
                <xdr:rowOff>10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Evan Hughes total receivables due to EES and EEMC were $171MM less $31MM refund that has already been paid to us leaving $140MM due.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163</xdr:colOff>
                <xdr:row>8</xdr:row>
                <xdr:rowOff>43</xdr:rowOff>
              </xdr:from>
              <xdr:to>
                <xdr:col>17</xdr:col>
                <xdr:colOff>3</xdr:colOff>
                <xdr:row>9</xdr:row>
                <xdr:rowOff>33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Evan Hughes total receivables due to EES and EEMC were $171MM less $31MM refund that has already been paid to us leaving $140MM due.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163</xdr:colOff>
                <xdr:row>9</xdr:row>
                <xdr:rowOff>42</xdr:rowOff>
              </xdr:from>
              <xdr:to>
                <xdr:col>17</xdr:col>
                <xdr:colOff>3</xdr:colOff>
                <xdr:row>10</xdr:row>
                <xdr:rowOff>33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net of revenues due EPMI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11</xdr:rowOff>
              </xdr:from>
              <xdr:to>
                <xdr:col>9</xdr:col>
                <xdr:colOff>101</xdr:colOff>
                <xdr:row>21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<sst xmlns="http://schemas.openxmlformats.org/spreadsheetml/2006/main" count="548" uniqueCount="205">
  <si>
    <t xml:space="preserve">RAC - Risk Assessment &amp; Control</t>
  </si>
  <si>
    <t xml:space="preserve">California Exposure as of COB</t>
  </si>
  <si>
    <t xml:space="preserve">February</t>
  </si>
  <si>
    <t xml:space="preserve">March </t>
  </si>
  <si>
    <t xml:space="preserve">February &amp; March</t>
  </si>
  <si>
    <t xml:space="preserve">March</t>
  </si>
  <si>
    <t xml:space="preserve">Financial </t>
  </si>
  <si>
    <t xml:space="preserve">Physical </t>
  </si>
  <si>
    <t xml:space="preserve">Sales </t>
  </si>
  <si>
    <t xml:space="preserve">Purchases </t>
  </si>
  <si>
    <t xml:space="preserve">Cash</t>
  </si>
  <si>
    <t xml:space="preserve">Net Settlement Risk</t>
  </si>
  <si>
    <t xml:space="preserve">Net Physical</t>
  </si>
  <si>
    <t xml:space="preserve">March Cash</t>
  </si>
  <si>
    <t xml:space="preserve">Enron's Net</t>
  </si>
  <si>
    <t xml:space="preserve">Counterparty's  </t>
  </si>
  <si>
    <t xml:space="preserve">Counterparty</t>
  </si>
  <si>
    <t xml:space="preserve">Enron Entity</t>
  </si>
  <si>
    <t xml:space="preserve">Entity Code</t>
  </si>
  <si>
    <t xml:space="preserve">Mark-to-Market </t>
  </si>
  <si>
    <t xml:space="preserve">(A/R)</t>
  </si>
  <si>
    <t xml:space="preserve">(A/P)</t>
  </si>
  <si>
    <t xml:space="preserve">(A/R - A/P)</t>
  </si>
  <si>
    <t xml:space="preserve">(Cash + Phys)</t>
  </si>
  <si>
    <t xml:space="preserve">Exposure</t>
  </si>
  <si>
    <t xml:space="preserve">Net Exposure</t>
  </si>
  <si>
    <t xml:space="preserve">Pacific Gas &amp; Electric Company</t>
  </si>
  <si>
    <t xml:space="preserve">Enron Canada</t>
  </si>
  <si>
    <t xml:space="preserve">ENA</t>
  </si>
  <si>
    <t xml:space="preserve">ENA Corp.</t>
  </si>
  <si>
    <t xml:space="preserve">EPMI</t>
  </si>
  <si>
    <t xml:space="preserve">EES</t>
  </si>
  <si>
    <t xml:space="preserve">Px Credit due to EES.  Physical MTM of $271.8mm was released due to putting customers back to utility.</t>
  </si>
  <si>
    <t xml:space="preserve">EEMC</t>
  </si>
  <si>
    <t xml:space="preserve">Px Credit due to EEMC.  Physical MTM of $321.6mm was released due to putting customers back to utility.</t>
  </si>
  <si>
    <t xml:space="preserve">Enron Wind</t>
  </si>
  <si>
    <t xml:space="preserve">EWC</t>
  </si>
  <si>
    <t xml:space="preserve">     Total Pacific Gas &amp; Electric Company</t>
  </si>
  <si>
    <t xml:space="preserve">(a)</t>
  </si>
  <si>
    <t xml:space="preserve">PG&amp;E Energy Services, Energy Trading Corporation</t>
  </si>
  <si>
    <t xml:space="preserve">Power Swap - One day only</t>
  </si>
  <si>
    <t xml:space="preserve">EES/EEMC</t>
  </si>
  <si>
    <t xml:space="preserve">Does not include $638,654 disputed charge</t>
  </si>
  <si>
    <t xml:space="preserve">      Total PG&amp;E Energy Services, Energy Trading Corporation</t>
  </si>
  <si>
    <t xml:space="preserve">No Set Off</t>
  </si>
  <si>
    <t xml:space="preserve">PG&amp;E Energy Trading - Power, L.P.</t>
  </si>
  <si>
    <t xml:space="preserve">Enron Coal</t>
  </si>
  <si>
    <t xml:space="preserve">Enron Coal -London</t>
  </si>
  <si>
    <t xml:space="preserve">EEL</t>
  </si>
  <si>
    <t xml:space="preserve">Phys. MTM per London</t>
  </si>
  <si>
    <t xml:space="preserve">Physical MTM has been reduce by $61.8MM due to assigment to other CPs. Total cost of assigments is $36.8mm paid through 12/06.</t>
  </si>
  <si>
    <t xml:space="preserve">    Total PG&amp;E Energy Trading - Power, L.P.</t>
  </si>
  <si>
    <t xml:space="preserve">PG&amp;E Quantum Ventures</t>
  </si>
  <si>
    <t xml:space="preserve">PG&amp;E Corp. guaranteed $10MM receivable to EES was received 01/23.</t>
  </si>
  <si>
    <t xml:space="preserve">CEG Energy Options Inc.</t>
  </si>
  <si>
    <t xml:space="preserve">     Total Quantum Ventures and CEG Energy Options</t>
  </si>
  <si>
    <t xml:space="preserve">PG&amp;E Energy Trading, Canada Corporation</t>
  </si>
  <si>
    <t xml:space="preserve">Set Off W/I Enron Canada</t>
  </si>
  <si>
    <t xml:space="preserve">    Total PG&amp;E Energy Trading, Canada Corporation</t>
  </si>
  <si>
    <t xml:space="preserve">PG&amp;E Energy Trading-Gas Corporation</t>
  </si>
  <si>
    <t xml:space="preserve">HPL Co.</t>
  </si>
  <si>
    <t xml:space="preserve">PG&amp;E Energy Trading-Gas Corporation*</t>
  </si>
  <si>
    <t xml:space="preserve">EEMC/EES</t>
  </si>
  <si>
    <t xml:space="preserve">EES gas exposure with PG&amp;E.</t>
  </si>
  <si>
    <t xml:space="preserve">     Total  PG&amp;E Energy Trading-Gas Corporation*</t>
  </si>
  <si>
    <t xml:space="preserve">          Subtotal PG&amp;E Trading Subsidiaries</t>
  </si>
  <si>
    <t xml:space="preserve">     Total Exposure to PG&amp;E Trading Subsidiaries</t>
  </si>
  <si>
    <t xml:space="preserve">(b)</t>
  </si>
  <si>
    <t xml:space="preserve">     Total Master Set-Off Benefit</t>
  </si>
  <si>
    <t xml:space="preserve">DOUBLE CHECK CALC.</t>
  </si>
  <si>
    <t xml:space="preserve">Potential Margin</t>
  </si>
  <si>
    <t xml:space="preserve">              Total Exposure after Set-Off</t>
  </si>
  <si>
    <t xml:space="preserve">PG&amp;E Gas Transmission, Northwest Corporation</t>
  </si>
  <si>
    <t xml:space="preserve">('c)</t>
  </si>
  <si>
    <t xml:space="preserve">Nine Energy Services LLC</t>
  </si>
  <si>
    <t xml:space="preserve">     Total PGE Relationship Exposure</t>
  </si>
  <si>
    <t xml:space="preserve">(a)+(b)+('c)</t>
  </si>
  <si>
    <t xml:space="preserve">           Total Relationship Exposure after Set-Off</t>
  </si>
  <si>
    <t xml:space="preserve">           Less Collateral Held</t>
  </si>
  <si>
    <t xml:space="preserve">           Total Relationship Net Position</t>
  </si>
  <si>
    <t xml:space="preserve">Check Figures</t>
  </si>
  <si>
    <t xml:space="preserve">Credit Agg Tie</t>
  </si>
  <si>
    <t xml:space="preserve">Southern California Edison Company</t>
  </si>
  <si>
    <t xml:space="preserve">Master Power Contract; forward exposure relating to EPMI fixed power supply out to 2005</t>
  </si>
  <si>
    <t xml:space="preserve">Portland General </t>
  </si>
  <si>
    <t xml:space="preserve">PGE</t>
  </si>
  <si>
    <t xml:space="preserve">Estimates of Portland General Exposure relating to an annuity stream due for the termination of power sales agreement 3 years ago.</t>
  </si>
  <si>
    <t xml:space="preserve">Estimates of Portland General Exposure relating to an annuity stream (23 remaining monthly pmts of $2,667,000) for the termination of a long-term power sales agreement 3 years ago.</t>
  </si>
  <si>
    <t xml:space="preserve">Px Credit due to EES.  Physical MTM of $128.6mm was released due to putting customers back to utility effective March 13.</t>
  </si>
  <si>
    <t xml:space="preserve">Px Credit due to EEMC.  Physical MTM of $227.4mm was released due to putting customers back to utility effective March 13.</t>
  </si>
  <si>
    <t xml:space="preserve">Enron Wind </t>
  </si>
  <si>
    <t xml:space="preserve">Estimates on accrued A/R through January 30, 2001.</t>
  </si>
  <si>
    <t xml:space="preserve">     Total Utility Exposure</t>
  </si>
  <si>
    <t xml:space="preserve">Edison First Power Limited</t>
  </si>
  <si>
    <t xml:space="preserve">ECT Resources Int.</t>
  </si>
  <si>
    <t xml:space="preserve">EEL </t>
  </si>
  <si>
    <t xml:space="preserve">Per London. Power Swaps</t>
  </si>
  <si>
    <t xml:space="preserve">ECT Resources Ltd.</t>
  </si>
  <si>
    <t xml:space="preserve">Per London, Enron Coal sleeves for ECT Resources under one coal contract.</t>
  </si>
  <si>
    <t xml:space="preserve">Edison Mission Energy</t>
  </si>
  <si>
    <t xml:space="preserve">Edison Mission Energy - First Hydro </t>
  </si>
  <si>
    <t xml:space="preserve">Per London. Financial swap settles weekly.</t>
  </si>
  <si>
    <t xml:space="preserve">Edison Mission Marketing &amp; Trading</t>
  </si>
  <si>
    <t xml:space="preserve">ENA has a $35MM inc gty from Edison Mission Energy for (4) specific swaps and a $15MM inc gty from Edison Mission Midwest Holdings for the remaining swap portfolio.</t>
  </si>
  <si>
    <t xml:space="preserve">Edison Mission Marketing &amp; Trading </t>
  </si>
  <si>
    <t xml:space="preserve">EPMI has a $20MM inc gty from Edison Mission Energy and a $5MM inc letter of credit.</t>
  </si>
  <si>
    <t xml:space="preserve">          Subtotal Non-Utility Exposure</t>
  </si>
  <si>
    <t xml:space="preserve">     Total Exposure to Non-Utility Subsidiaries</t>
  </si>
  <si>
    <t xml:space="preserve">With Master Set-Off</t>
  </si>
  <si>
    <t xml:space="preserve">     Total Relationship Exposure</t>
  </si>
  <si>
    <t xml:space="preserve">Notes: </t>
  </si>
  <si>
    <t xml:space="preserve">(a) Net Settlement Risk for Coal is only one-month receivables/payables due to approx. 10 day settlement for coal delivery.</t>
  </si>
  <si>
    <t xml:space="preserve">CHECK</t>
  </si>
  <si>
    <t xml:space="preserve">Net Sales</t>
  </si>
  <si>
    <t xml:space="preserve">Net Purchases</t>
  </si>
  <si>
    <t xml:space="preserve">CA ISO's</t>
  </si>
  <si>
    <t xml:space="preserve">ISO</t>
  </si>
  <si>
    <t xml:space="preserve">Activity Month</t>
  </si>
  <si>
    <t xml:space="preserve">(if A/R-A/P &gt; $0)</t>
  </si>
  <si>
    <t xml:space="preserve">(if A/P-A/R &lt; $0)</t>
  </si>
  <si>
    <t xml:space="preserve">Pmt. Date</t>
  </si>
  <si>
    <t xml:space="preserve">California ISO</t>
  </si>
  <si>
    <t xml:space="preserve">Enron Power Marketing, Inc.</t>
  </si>
  <si>
    <t xml:space="preserve">November 2000</t>
  </si>
  <si>
    <t xml:space="preserve">December 2000</t>
  </si>
  <si>
    <t xml:space="preserve">MTD January 2001</t>
  </si>
  <si>
    <t xml:space="preserve">Portland General</t>
  </si>
  <si>
    <t xml:space="preserve">Total CA ISO</t>
  </si>
  <si>
    <t xml:space="preserve">PX Net Purchases</t>
  </si>
  <si>
    <t xml:space="preserve">PX Net Sales</t>
  </si>
  <si>
    <t xml:space="preserve">CA PX's</t>
  </si>
  <si>
    <t xml:space="preserve">Payment</t>
  </si>
  <si>
    <t xml:space="preserve">Receipt</t>
  </si>
  <si>
    <t xml:space="preserve">Date:</t>
  </si>
  <si>
    <t xml:space="preserve">California Power Exchange Corporation</t>
  </si>
  <si>
    <t xml:space="preserve">November 2000 (Real Time Mkt)</t>
  </si>
  <si>
    <t xml:space="preserve">December 2000 (Real Time Mkt)</t>
  </si>
  <si>
    <t xml:space="preserve">December 2000 (Core Mkt)</t>
  </si>
  <si>
    <t xml:space="preserve">EPMI received $4.1MM of $12.5MM</t>
  </si>
  <si>
    <t xml:space="preserve">December 2000 (Blk FW Mkt)</t>
  </si>
  <si>
    <t xml:space="preserve">EPMI paid invoice</t>
  </si>
  <si>
    <t xml:space="preserve">MTD January 2001 (Real Time Mkt)</t>
  </si>
  <si>
    <t xml:space="preserve">MTD January 2001 (Core Mkt)</t>
  </si>
  <si>
    <t xml:space="preserve">Existing Block FW Portfolio</t>
  </si>
  <si>
    <t xml:space="preserve">Block forward positions out to 12/01</t>
  </si>
  <si>
    <t xml:space="preserve">November - December 2000</t>
  </si>
  <si>
    <t xml:space="preserve">Total CA PX</t>
  </si>
  <si>
    <t xml:space="preserve">ENRON</t>
  </si>
  <si>
    <t xml:space="preserve">PORTLAND GENERAL</t>
  </si>
  <si>
    <t xml:space="preserve">TOTAL</t>
  </si>
  <si>
    <t xml:space="preserve">PCG REGULATED</t>
  </si>
  <si>
    <t xml:space="preserve">PCG NON-REGULATED FILING SUBS</t>
  </si>
  <si>
    <t xml:space="preserve">PCG EXPECTED NON-FILING SUBS</t>
  </si>
  <si>
    <t xml:space="preserve">EIX REGULATED</t>
  </si>
  <si>
    <t xml:space="preserve">EIX NON-REGULATED</t>
  </si>
  <si>
    <t xml:space="preserve">     SUBTOTAL</t>
  </si>
  <si>
    <t xml:space="preserve">PX</t>
  </si>
  <si>
    <t xml:space="preserve">SUMMARY EXPOSURE BY ENRON ENTITY</t>
  </si>
  <si>
    <t xml:space="preserve">As of COB 03/13/01</t>
  </si>
  <si>
    <t xml:space="preserve">EWS</t>
  </si>
  <si>
    <t xml:space="preserve">Total</t>
  </si>
  <si>
    <t xml:space="preserve">PG&amp;E Utility</t>
  </si>
  <si>
    <t xml:space="preserve">PG&amp;E Non-Utility</t>
  </si>
  <si>
    <t xml:space="preserve">SCE Utility</t>
  </si>
  <si>
    <t xml:space="preserve">SCE Non-Utility</t>
  </si>
  <si>
    <t xml:space="preserve">Px</t>
  </si>
  <si>
    <t xml:space="preserve">     Subtotal</t>
  </si>
  <si>
    <t xml:space="preserve">     Total California Utility Exposure</t>
  </si>
  <si>
    <t xml:space="preserve">(b)/('c)</t>
  </si>
  <si>
    <t xml:space="preserve">Note:</t>
  </si>
  <si>
    <t xml:space="preserve">(a)approx.$180mm of exposure assigned from EES on 12/28/00.  MTM on 12/28/00 was $260.5mm.</t>
  </si>
  <si>
    <t xml:space="preserve">(b) Total California Utility Exposure assumes netting among Enron entities within both Utilities, </t>
  </si>
  <si>
    <t xml:space="preserve">and netting within Enron Canada for PG&amp;E Energy Trading, Canada Corp. </t>
  </si>
  <si>
    <t xml:space="preserve">('c) Total California Utility Exposure will reduce to $763.9mm with Master Set-Off.</t>
  </si>
  <si>
    <t xml:space="preserve">Check</t>
  </si>
  <si>
    <t xml:space="preserve">California Counterparty Exposure as of </t>
  </si>
  <si>
    <t xml:space="preserve">Southern California Edison</t>
  </si>
  <si>
    <t xml:space="preserve">     Total Exposure Relating to EEMC/EES</t>
  </si>
  <si>
    <t xml:space="preserve">Enron Canada </t>
  </si>
  <si>
    <t xml:space="preserve">     Total Exposure Relating to Enron Canada Corp.</t>
  </si>
  <si>
    <t xml:space="preserve">ECT Res. Int.</t>
  </si>
  <si>
    <t xml:space="preserve">ECT Res. Ltd.</t>
  </si>
  <si>
    <t xml:space="preserve">     Total Exposure Relating to Enron Capital &amp; Trade Resources</t>
  </si>
  <si>
    <t xml:space="preserve">     Total Exposure Relating to Enron Coal Services Limited</t>
  </si>
  <si>
    <t xml:space="preserve">Enron Europe </t>
  </si>
  <si>
    <t xml:space="preserve">     Total Exposure Relating to Enron Europe Ltd.</t>
  </si>
  <si>
    <t xml:space="preserve">Edison Mission Marketing &amp; Trading Inc.</t>
  </si>
  <si>
    <t xml:space="preserve">     Total Exposure Relating to Enron North America Corp.</t>
  </si>
  <si>
    <t xml:space="preserve">Nov. 2000</t>
  </si>
  <si>
    <t xml:space="preserve">Dec. 2000</t>
  </si>
  <si>
    <t xml:space="preserve">MTD Jan. 2001</t>
  </si>
  <si>
    <t xml:space="preserve">Nov. 2000 (Real Time Mkt)</t>
  </si>
  <si>
    <t xml:space="preserve">Dec. 2000 (Real Time Mkt)</t>
  </si>
  <si>
    <t xml:space="preserve">Dec. 2000 (Core Mkt)</t>
  </si>
  <si>
    <t xml:space="preserve">Dec. 2000 (Blk FW Mkt)</t>
  </si>
  <si>
    <t xml:space="preserve">MTD Jan. 2001 (Real Time Mkt)</t>
  </si>
  <si>
    <t xml:space="preserve">MTD Jan. 2001 (Core Mkt)</t>
  </si>
  <si>
    <t xml:space="preserve">     Total Exposure Relating to Enron Power Marketing, Inc.</t>
  </si>
  <si>
    <t xml:space="preserve">     Total Exposure Relating to Enron Wind Corp.</t>
  </si>
  <si>
    <t xml:space="preserve">     Total Exposure Relating to Houston Pipe Line Company</t>
  </si>
  <si>
    <t xml:space="preserve">Portland Gen.</t>
  </si>
  <si>
    <t xml:space="preserve">     Total Exposure Relating to Portland General</t>
  </si>
  <si>
    <t xml:space="preserve">          Total Exposure to California Counterparty by Enron Entity</t>
  </si>
  <si>
    <t xml:space="preserve">          Total Exposure to California Counterparty  - assumes netting of Utility, and certain trading entities.</t>
  </si>
  <si>
    <t xml:space="preserve">check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</si>
</sst>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\$#,##0_);[RED]&quot;($&quot;#,##0\)"/>
    <numFmt numFmtId="167" formatCode="_(\$* #,##0.00_);_(\$* \(#,##0.00\);_(\$* \-??_);_(@_)"/>
    <numFmt numFmtId="168" formatCode="[$-409]#,##0.00_);[RED]\(#,##0.00\)"/>
    <numFmt numFmtId="169" formatCode="[$-409]#,##0_);[RED]\(#,##0\)"/>
    <numFmt numFmtId="170" formatCode="dd\-mmm\-yy"/>
    <numFmt numFmtId="171" formatCode="@"/>
    <numFmt numFmtId="172" formatCode="[$-409]mmm\-yy"/>
    <numFmt numFmtId="173" formatCode="mm/dd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b val="true"/>
      <sz val="24"/>
      <name val="Arial"/>
      <family val="2"/>
    </font>
    <font>
      <b val="true"/>
      <i val="true"/>
      <sz val="18"/>
      <name val="Arial"/>
      <family val="2"/>
    </font>
    <font>
      <b val="true"/>
      <sz val="12"/>
      <color rgb="FF3366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BFEFEF"/>
      </patternFill>
    </fill>
    <fill>
      <patternFill patternType="solid">
        <fgColor rgb="FFCCFFCC"/>
        <bgColor rgb="FFCCFFFF"/>
      </patternFill>
    </fill>
    <fill>
      <patternFill patternType="solid">
        <fgColor rgb="FFBFEFEF"/>
        <bgColor rgb="FFCCFFFF"/>
      </patternFill>
    </fill>
    <fill>
      <patternFill patternType="solid">
        <fgColor rgb="FF00EF00"/>
        <bgColor rgb="FF33CCCC"/>
      </patternFill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3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3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6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9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5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8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3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3" borderId="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4" fillId="3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6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6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6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7" fillId="6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7" fillId="3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3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4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7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7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1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1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1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1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5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5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6" fontId="4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E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FEFE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5625" defaultRowHeight="15" customHeight="true" zeroHeight="false" outlineLevelRow="0" outlineLevelCol="0"/>
  <cols>
    <col collapsed="false" customWidth="true" hidden="false" outlineLevel="0" max="1" min="1" style="1" width="57.41"/>
    <col collapsed="false" customWidth="true" hidden="false" outlineLevel="0" max="2" min="2" style="1" width="23.14"/>
    <col collapsed="false" customWidth="true" hidden="true" outlineLevel="0" max="3" min="3" style="1" width="10.28"/>
    <col collapsed="false" customWidth="false" hidden="false" outlineLevel="0" max="4" min="4" style="2" width="20.56"/>
    <col collapsed="false" customWidth="true" hidden="false" outlineLevel="0" max="5" min="5" style="1" width="21.13"/>
    <col collapsed="false" customWidth="false" hidden="true" outlineLevel="0" max="11" min="6" style="1" width="20.56"/>
    <col collapsed="false" customWidth="true" hidden="false" outlineLevel="0" max="12" min="12" style="1" width="24.85"/>
    <col collapsed="false" customWidth="false" hidden="true" outlineLevel="0" max="13" min="13" style="3" width="20.56"/>
    <col collapsed="false" customWidth="true" hidden="true" outlineLevel="0" max="14" min="14" style="3" width="21.13"/>
    <col collapsed="false" customWidth="false" hidden="true" outlineLevel="0" max="16" min="15" style="3" width="20.56"/>
    <col collapsed="false" customWidth="false" hidden="false" outlineLevel="0" max="18" min="17" style="1" width="20.56"/>
    <col collapsed="false" customWidth="true" hidden="false" outlineLevel="0" max="19" min="19" style="1" width="46.56"/>
    <col collapsed="false" customWidth="true" hidden="false" outlineLevel="0" max="20" min="20" style="1" width="12.85"/>
    <col collapsed="false" customWidth="true" hidden="false" outlineLevel="0" max="21" min="21" style="1" width="26.84"/>
    <col collapsed="false" customWidth="false" hidden="false" outlineLevel="0" max="257" min="22" style="1" width="20.56"/>
  </cols>
  <sheetData>
    <row r="1" customFormat="false" ht="18" hidden="false" customHeight="false" outlineLevel="0" collapsed="false">
      <c r="A1" s="4" t="s">
        <v>0</v>
      </c>
      <c r="B1" s="5"/>
      <c r="C1" s="5"/>
    </row>
    <row r="2" customFormat="false" ht="18" hidden="false" customHeight="false" outlineLevel="0" collapsed="false">
      <c r="A2" s="6" t="s">
        <v>1</v>
      </c>
      <c r="B2" s="7" t="n">
        <v>36963</v>
      </c>
      <c r="C2" s="7"/>
    </row>
    <row r="3" customFormat="false" ht="18" hidden="false" customHeight="false" outlineLevel="0" collapsed="false">
      <c r="A3" s="7"/>
      <c r="B3" s="7"/>
      <c r="C3" s="7"/>
    </row>
    <row r="4" customFormat="false" ht="15.75" hidden="false" customHeight="false" outlineLevel="0" collapsed="false">
      <c r="A4" s="8"/>
      <c r="B4" s="8"/>
      <c r="C4" s="8"/>
      <c r="D4" s="9"/>
      <c r="E4" s="8"/>
      <c r="F4" s="10" t="s">
        <v>2</v>
      </c>
      <c r="G4" s="10"/>
      <c r="H4" s="10"/>
      <c r="I4" s="10" t="s">
        <v>3</v>
      </c>
      <c r="J4" s="10"/>
      <c r="K4" s="10"/>
      <c r="L4" s="11" t="s">
        <v>4</v>
      </c>
      <c r="M4" s="12"/>
      <c r="N4" s="13" t="s">
        <v>5</v>
      </c>
      <c r="O4" s="13"/>
      <c r="P4" s="13"/>
      <c r="Q4" s="8"/>
      <c r="R4" s="8"/>
      <c r="S4" s="8"/>
      <c r="T4" s="14"/>
      <c r="U4" s="15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5.75" hidden="false" customHeight="false" outlineLevel="0" collapsed="false">
      <c r="A5" s="16"/>
      <c r="B5" s="16"/>
      <c r="C5" s="16"/>
      <c r="D5" s="17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8</v>
      </c>
      <c r="J5" s="16" t="s">
        <v>9</v>
      </c>
      <c r="K5" s="16" t="s">
        <v>10</v>
      </c>
      <c r="L5" s="11" t="s">
        <v>11</v>
      </c>
      <c r="M5" s="18" t="s">
        <v>12</v>
      </c>
      <c r="N5" s="18" t="s">
        <v>8</v>
      </c>
      <c r="O5" s="18" t="s">
        <v>9</v>
      </c>
      <c r="P5" s="18" t="s">
        <v>13</v>
      </c>
      <c r="Q5" s="16" t="s">
        <v>14</v>
      </c>
      <c r="R5" s="16" t="s">
        <v>15</v>
      </c>
      <c r="S5" s="11"/>
      <c r="T5" s="16"/>
      <c r="U5" s="15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5.75" hidden="false" customHeight="false" outlineLevel="0" collapsed="false">
      <c r="A6" s="19" t="s">
        <v>16</v>
      </c>
      <c r="B6" s="19" t="s">
        <v>17</v>
      </c>
      <c r="C6" s="19" t="s">
        <v>18</v>
      </c>
      <c r="D6" s="17" t="s">
        <v>19</v>
      </c>
      <c r="E6" s="16" t="s">
        <v>19</v>
      </c>
      <c r="F6" s="16" t="s">
        <v>20</v>
      </c>
      <c r="G6" s="16" t="s">
        <v>21</v>
      </c>
      <c r="H6" s="16" t="s">
        <v>22</v>
      </c>
      <c r="I6" s="16" t="s">
        <v>20</v>
      </c>
      <c r="J6" s="16" t="s">
        <v>21</v>
      </c>
      <c r="K6" s="16" t="s">
        <v>22</v>
      </c>
      <c r="L6" s="16" t="s">
        <v>22</v>
      </c>
      <c r="M6" s="18" t="s">
        <v>23</v>
      </c>
      <c r="N6" s="18" t="s">
        <v>20</v>
      </c>
      <c r="O6" s="18" t="s">
        <v>21</v>
      </c>
      <c r="P6" s="18" t="s">
        <v>22</v>
      </c>
      <c r="Q6" s="16" t="s">
        <v>24</v>
      </c>
      <c r="R6" s="16" t="s">
        <v>25</v>
      </c>
      <c r="S6" s="11"/>
      <c r="T6" s="16"/>
      <c r="U6" s="15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A7" s="20"/>
      <c r="B7" s="20"/>
      <c r="C7" s="20"/>
      <c r="D7" s="21"/>
      <c r="E7" s="20"/>
      <c r="F7" s="20"/>
      <c r="G7" s="20"/>
      <c r="H7" s="20"/>
      <c r="I7" s="20"/>
      <c r="J7" s="20"/>
      <c r="K7" s="20"/>
      <c r="L7" s="20"/>
      <c r="M7" s="22"/>
      <c r="N7" s="22"/>
      <c r="O7" s="22"/>
      <c r="P7" s="22"/>
      <c r="Q7" s="20"/>
    </row>
    <row r="8" customFormat="false" ht="15.75" hidden="false" customHeight="false" outlineLevel="0" collapsed="false">
      <c r="A8" s="23" t="s">
        <v>26</v>
      </c>
      <c r="B8" s="24" t="s">
        <v>27</v>
      </c>
      <c r="C8" s="24" t="s">
        <v>28</v>
      </c>
      <c r="D8" s="25" t="n">
        <v>0</v>
      </c>
      <c r="E8" s="25" t="n">
        <v>-616855</v>
      </c>
      <c r="F8" s="25" t="n">
        <v>34188190</v>
      </c>
      <c r="G8" s="25" t="n">
        <v>-455229</v>
      </c>
      <c r="H8" s="25" t="n">
        <f aca="false">SUM(F8:G8)</f>
        <v>33732961</v>
      </c>
      <c r="I8" s="25" t="n">
        <v>27063434</v>
      </c>
      <c r="J8" s="25" t="n">
        <v>-498625</v>
      </c>
      <c r="K8" s="25" t="n">
        <f aca="false">SUM(I8:J8)</f>
        <v>26564809</v>
      </c>
      <c r="L8" s="25" t="n">
        <f aca="false">+K8+H8</f>
        <v>60297770</v>
      </c>
      <c r="M8" s="26" t="n">
        <v>70169385</v>
      </c>
      <c r="N8" s="27" t="n">
        <v>26648397</v>
      </c>
      <c r="O8" s="27" t="n">
        <v>-502136</v>
      </c>
      <c r="P8" s="27" t="n">
        <f aca="false">SUM(N8:O8)</f>
        <v>26146261</v>
      </c>
      <c r="Q8" s="25" t="n">
        <f aca="false">+L8+E8</f>
        <v>59680915</v>
      </c>
      <c r="R8" s="28" t="n">
        <v>0</v>
      </c>
      <c r="S8" s="28"/>
      <c r="T8" s="29"/>
      <c r="U8" s="30"/>
      <c r="V8" s="30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15.75" hidden="false" customHeight="false" outlineLevel="0" collapsed="false">
      <c r="A9" s="32" t="s">
        <v>26</v>
      </c>
      <c r="B9" s="33" t="s">
        <v>29</v>
      </c>
      <c r="C9" s="33" t="s">
        <v>28</v>
      </c>
      <c r="D9" s="34" t="n">
        <v>23361883</v>
      </c>
      <c r="E9" s="34" t="n">
        <v>-57869231</v>
      </c>
      <c r="F9" s="35" t="n">
        <v>19630979.2</v>
      </c>
      <c r="G9" s="35" t="n">
        <v>0</v>
      </c>
      <c r="H9" s="36" t="n">
        <f aca="false">SUM(F9:G9)</f>
        <v>19630979.2</v>
      </c>
      <c r="I9" s="34" t="n">
        <v>12784508</v>
      </c>
      <c r="J9" s="34" t="n">
        <v>0</v>
      </c>
      <c r="K9" s="36" t="n">
        <f aca="false">SUM(I9:J9)</f>
        <v>12784508</v>
      </c>
      <c r="L9" s="36" t="n">
        <f aca="false">+K9+H9</f>
        <v>32415487.2</v>
      </c>
      <c r="M9" s="26" t="n">
        <v>-21241850</v>
      </c>
      <c r="N9" s="37" t="n">
        <v>19971130</v>
      </c>
      <c r="O9" s="38" t="n">
        <v>0</v>
      </c>
      <c r="P9" s="37" t="n">
        <f aca="false">SUM(N9:O9)</f>
        <v>19971130</v>
      </c>
      <c r="Q9" s="36" t="n">
        <f aca="false">+D9</f>
        <v>23361883</v>
      </c>
      <c r="R9" s="39" t="n">
        <f aca="false">+L9+E9</f>
        <v>-25453743.8</v>
      </c>
      <c r="S9" s="40"/>
      <c r="T9" s="41"/>
      <c r="U9" s="30"/>
      <c r="V9" s="30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5.75" hidden="false" customHeight="false" outlineLevel="0" collapsed="false">
      <c r="A10" s="42" t="s">
        <v>26</v>
      </c>
      <c r="B10" s="43" t="s">
        <v>30</v>
      </c>
      <c r="C10" s="33" t="s">
        <v>28</v>
      </c>
      <c r="D10" s="34" t="n">
        <v>0</v>
      </c>
      <c r="E10" s="34" t="n">
        <v>-127692931</v>
      </c>
      <c r="F10" s="35" t="n">
        <v>2761920</v>
      </c>
      <c r="G10" s="35" t="n">
        <v>0</v>
      </c>
      <c r="H10" s="36" t="n">
        <f aca="false">SUM(F10:G10)</f>
        <v>2761920</v>
      </c>
      <c r="I10" s="34" t="n">
        <f aca="false">1150800+1956360</f>
        <v>3107160</v>
      </c>
      <c r="J10" s="34" t="n">
        <v>0</v>
      </c>
      <c r="K10" s="36" t="n">
        <f aca="false">SUM(I10:J10)</f>
        <v>3107160</v>
      </c>
      <c r="L10" s="36" t="n">
        <f aca="false">+K10+H10</f>
        <v>5869080</v>
      </c>
      <c r="M10" s="26" t="n">
        <v>-102163008</v>
      </c>
      <c r="N10" s="37" t="n">
        <f aca="false">115080+2992080</f>
        <v>3107160</v>
      </c>
      <c r="O10" s="38" t="n">
        <v>0</v>
      </c>
      <c r="P10" s="37" t="n">
        <f aca="false">SUM(N10:O10)</f>
        <v>3107160</v>
      </c>
      <c r="Q10" s="34" t="n">
        <v>0</v>
      </c>
      <c r="R10" s="39" t="n">
        <f aca="false">+L10+E10</f>
        <v>-121823851</v>
      </c>
      <c r="S10" s="39"/>
      <c r="T10" s="41"/>
      <c r="U10" s="30"/>
      <c r="V10" s="30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customFormat="false" ht="47.25" hidden="false" customHeight="false" outlineLevel="0" collapsed="false">
      <c r="A11" s="44" t="s">
        <v>26</v>
      </c>
      <c r="B11" s="45" t="s">
        <v>31</v>
      </c>
      <c r="C11" s="45" t="s">
        <v>31</v>
      </c>
      <c r="D11" s="46" t="n">
        <v>0</v>
      </c>
      <c r="E11" s="46" t="n">
        <v>0</v>
      </c>
      <c r="F11" s="47" t="n">
        <f aca="false">197000000/264500000*325000000</f>
        <v>242060491.493384</v>
      </c>
      <c r="G11" s="47" t="n">
        <v>0</v>
      </c>
      <c r="H11" s="48" t="n">
        <f aca="false">SUM(F11:G11)</f>
        <v>242060491.493384</v>
      </c>
      <c r="I11" s="47" t="n">
        <v>0</v>
      </c>
      <c r="J11" s="47" t="n">
        <v>0</v>
      </c>
      <c r="K11" s="48" t="n">
        <f aca="false">SUM(I11:J11)</f>
        <v>0</v>
      </c>
      <c r="L11" s="48" t="n">
        <f aca="false">+K11+H11</f>
        <v>242060491.493384</v>
      </c>
      <c r="M11" s="47"/>
      <c r="N11" s="38" t="n">
        <v>0</v>
      </c>
      <c r="O11" s="38" t="n">
        <v>0</v>
      </c>
      <c r="P11" s="37" t="n">
        <f aca="false">SUM(N11:O11)</f>
        <v>0</v>
      </c>
      <c r="Q11" s="47" t="n">
        <f aca="false">+L11+E11+D11</f>
        <v>242060491.493384</v>
      </c>
      <c r="R11" s="46" t="n">
        <v>0</v>
      </c>
      <c r="S11" s="49" t="s">
        <v>32</v>
      </c>
      <c r="T11" s="41"/>
      <c r="U11" s="30"/>
      <c r="V11" s="30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47.25" hidden="false" customHeight="false" outlineLevel="0" collapsed="false">
      <c r="A12" s="44" t="s">
        <v>26</v>
      </c>
      <c r="B12" s="45" t="s">
        <v>33</v>
      </c>
      <c r="C12" s="45" t="s">
        <v>31</v>
      </c>
      <c r="D12" s="46" t="n">
        <v>0</v>
      </c>
      <c r="E12" s="46" t="n">
        <v>0</v>
      </c>
      <c r="F12" s="46" t="n">
        <f aca="false">67500000/264500000*325000000</f>
        <v>82939508.5066163</v>
      </c>
      <c r="G12" s="46" t="n">
        <v>0</v>
      </c>
      <c r="H12" s="48" t="n">
        <f aca="false">SUM(F12:G12)</f>
        <v>82939508.5066163</v>
      </c>
      <c r="I12" s="47" t="n">
        <v>0</v>
      </c>
      <c r="J12" s="47" t="n">
        <v>0</v>
      </c>
      <c r="K12" s="48" t="n">
        <f aca="false">SUM(I12:J12)</f>
        <v>0</v>
      </c>
      <c r="L12" s="48" t="n">
        <f aca="false">+K12+H12</f>
        <v>82939508.5066163</v>
      </c>
      <c r="M12" s="46"/>
      <c r="N12" s="38" t="n">
        <v>0</v>
      </c>
      <c r="O12" s="38" t="n">
        <v>0</v>
      </c>
      <c r="P12" s="37" t="n">
        <f aca="false">SUM(N12:O12)</f>
        <v>0</v>
      </c>
      <c r="Q12" s="46" t="n">
        <f aca="false">+L12+E12+D12</f>
        <v>82939508.5066163</v>
      </c>
      <c r="R12" s="46" t="n">
        <v>0</v>
      </c>
      <c r="S12" s="49" t="s">
        <v>34</v>
      </c>
      <c r="T12" s="50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15.75" hidden="false" customHeight="false" outlineLevel="0" collapsed="false">
      <c r="A13" s="51" t="s">
        <v>26</v>
      </c>
      <c r="B13" s="45" t="s">
        <v>31</v>
      </c>
      <c r="C13" s="52" t="s">
        <v>31</v>
      </c>
      <c r="D13" s="46" t="n">
        <v>0</v>
      </c>
      <c r="E13" s="46" t="n">
        <v>0</v>
      </c>
      <c r="F13" s="46" t="n">
        <v>0</v>
      </c>
      <c r="G13" s="46" t="n">
        <f aca="false">-100000</f>
        <v>-100000</v>
      </c>
      <c r="H13" s="36" t="n">
        <f aca="false">SUM(F13:G13)</f>
        <v>-100000</v>
      </c>
      <c r="I13" s="53" t="n">
        <v>0</v>
      </c>
      <c r="J13" s="53" t="n">
        <v>0</v>
      </c>
      <c r="K13" s="36" t="n">
        <f aca="false">SUM(I13:J13)</f>
        <v>0</v>
      </c>
      <c r="L13" s="36" t="n">
        <f aca="false">+K13+H13</f>
        <v>-100000</v>
      </c>
      <c r="M13" s="46"/>
      <c r="N13" s="54" t="n">
        <v>0</v>
      </c>
      <c r="O13" s="54" t="n">
        <v>0</v>
      </c>
      <c r="P13" s="55" t="n">
        <f aca="false">SUM(N13:O13)</f>
        <v>0</v>
      </c>
      <c r="Q13" s="46" t="n">
        <v>0</v>
      </c>
      <c r="R13" s="39" t="n">
        <f aca="false">+L13+E13</f>
        <v>-100000</v>
      </c>
      <c r="S13" s="56"/>
      <c r="T13" s="50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6.5" hidden="false" customHeight="false" outlineLevel="0" collapsed="false">
      <c r="A14" s="51" t="s">
        <v>26</v>
      </c>
      <c r="B14" s="57" t="s">
        <v>35</v>
      </c>
      <c r="C14" s="45" t="s">
        <v>36</v>
      </c>
      <c r="D14" s="58" t="n">
        <v>0</v>
      </c>
      <c r="E14" s="58" t="n">
        <v>0</v>
      </c>
      <c r="F14" s="58" t="n">
        <f aca="false">172801.92+275000</f>
        <v>447801.92</v>
      </c>
      <c r="G14" s="58" t="n">
        <v>0</v>
      </c>
      <c r="H14" s="36" t="n">
        <f aca="false">SUM(F14:G14)</f>
        <v>447801.92</v>
      </c>
      <c r="I14" s="53" t="n">
        <v>0</v>
      </c>
      <c r="J14" s="53" t="n">
        <v>0</v>
      </c>
      <c r="K14" s="36" t="n">
        <f aca="false">SUM(I14:J14)</f>
        <v>0</v>
      </c>
      <c r="L14" s="36" t="n">
        <f aca="false">+K14+H14</f>
        <v>447801.92</v>
      </c>
      <c r="M14" s="58"/>
      <c r="N14" s="54" t="n">
        <v>0</v>
      </c>
      <c r="O14" s="54" t="n">
        <v>0</v>
      </c>
      <c r="P14" s="55" t="n">
        <f aca="false">SUM(N14:O14)</f>
        <v>0</v>
      </c>
      <c r="Q14" s="59" t="n">
        <f aca="false">+L14</f>
        <v>447801.92</v>
      </c>
      <c r="R14" s="59" t="n">
        <v>0</v>
      </c>
      <c r="S14" s="60"/>
      <c r="T14" s="6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customFormat="false" ht="17.25" hidden="false" customHeight="false" outlineLevel="0" collapsed="false">
      <c r="A15" s="62" t="s">
        <v>37</v>
      </c>
      <c r="B15" s="63"/>
      <c r="C15" s="63"/>
      <c r="D15" s="64"/>
      <c r="E15" s="64"/>
      <c r="F15" s="64"/>
      <c r="G15" s="64"/>
      <c r="H15" s="64"/>
      <c r="I15" s="65"/>
      <c r="J15" s="65"/>
      <c r="K15" s="64"/>
      <c r="L15" s="64"/>
      <c r="M15" s="55"/>
      <c r="N15" s="54"/>
      <c r="O15" s="54"/>
      <c r="P15" s="55"/>
      <c r="Q15" s="64" t="n">
        <f aca="false">SUM(Q8:Q14)</f>
        <v>408490599.92</v>
      </c>
      <c r="R15" s="64" t="n">
        <f aca="false">SUM(R8:R14)</f>
        <v>-147377594.8</v>
      </c>
      <c r="S15" s="66" t="n">
        <f aca="false">+Q15+R15</f>
        <v>261113005.12</v>
      </c>
      <c r="T15" s="67" t="s">
        <v>38</v>
      </c>
      <c r="U15" s="68"/>
      <c r="V15" s="6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5.75" hidden="false" customHeight="true" outlineLevel="0" collapsed="false">
      <c r="A16" s="69"/>
      <c r="B16" s="70"/>
      <c r="C16" s="70"/>
      <c r="D16" s="71"/>
      <c r="E16" s="72"/>
      <c r="F16" s="72"/>
      <c r="G16" s="72"/>
      <c r="H16" s="71"/>
      <c r="I16" s="72"/>
      <c r="J16" s="72"/>
      <c r="K16" s="72"/>
      <c r="L16" s="72"/>
      <c r="M16" s="73"/>
      <c r="N16" s="73"/>
      <c r="O16" s="73"/>
      <c r="P16" s="73"/>
      <c r="Q16" s="72"/>
      <c r="R16" s="74"/>
      <c r="S16" s="74"/>
      <c r="T16" s="75"/>
      <c r="U16" s="76"/>
      <c r="V16" s="76"/>
    </row>
    <row r="17" customFormat="false" ht="15.75" hidden="false" customHeight="false" outlineLevel="0" collapsed="false">
      <c r="A17" s="77" t="s">
        <v>39</v>
      </c>
      <c r="B17" s="78" t="s">
        <v>27</v>
      </c>
      <c r="C17" s="79" t="s">
        <v>28</v>
      </c>
      <c r="D17" s="80" t="n">
        <v>0</v>
      </c>
      <c r="E17" s="80" t="n">
        <v>0</v>
      </c>
      <c r="F17" s="80" t="n">
        <v>0</v>
      </c>
      <c r="G17" s="80" t="n">
        <v>0</v>
      </c>
      <c r="H17" s="80" t="n">
        <f aca="false">SUM(F17:G17)</f>
        <v>0</v>
      </c>
      <c r="I17" s="80" t="n">
        <v>0</v>
      </c>
      <c r="J17" s="80" t="n">
        <v>0</v>
      </c>
      <c r="K17" s="80" t="n">
        <f aca="false">SUM(I17:J17)</f>
        <v>0</v>
      </c>
      <c r="L17" s="81" t="n">
        <f aca="false">+K17+H17</f>
        <v>0</v>
      </c>
      <c r="M17" s="80" t="n">
        <v>50460</v>
      </c>
      <c r="N17" s="82" t="n">
        <v>0</v>
      </c>
      <c r="O17" s="82" t="n">
        <v>0</v>
      </c>
      <c r="P17" s="82" t="n">
        <f aca="false">SUM(N17:O17)</f>
        <v>0</v>
      </c>
      <c r="Q17" s="80" t="n">
        <f aca="false">+L17+E17</f>
        <v>0</v>
      </c>
      <c r="R17" s="83" t="n">
        <v>0</v>
      </c>
      <c r="S17" s="83"/>
      <c r="T17" s="84"/>
      <c r="U17" s="85"/>
      <c r="V17" s="85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customFormat="false" ht="15.75" hidden="false" customHeight="false" outlineLevel="0" collapsed="false">
      <c r="A18" s="87" t="s">
        <v>39</v>
      </c>
      <c r="B18" s="88" t="s">
        <v>29</v>
      </c>
      <c r="C18" s="79" t="s">
        <v>28</v>
      </c>
      <c r="D18" s="80" t="n">
        <v>0</v>
      </c>
      <c r="E18" s="80" t="n">
        <v>0</v>
      </c>
      <c r="F18" s="80" t="n">
        <v>0</v>
      </c>
      <c r="G18" s="80" t="n">
        <v>0</v>
      </c>
      <c r="H18" s="80" t="n">
        <f aca="false">SUM(F18:G18)</f>
        <v>0</v>
      </c>
      <c r="I18" s="80" t="n">
        <v>0</v>
      </c>
      <c r="J18" s="80" t="n">
        <v>0</v>
      </c>
      <c r="K18" s="80" t="n">
        <f aca="false">SUM(I18:J18)</f>
        <v>0</v>
      </c>
      <c r="L18" s="81" t="n">
        <f aca="false">+K18+H18</f>
        <v>0</v>
      </c>
      <c r="M18" s="80" t="n">
        <v>290238</v>
      </c>
      <c r="N18" s="80" t="n">
        <v>0</v>
      </c>
      <c r="O18" s="80" t="n">
        <v>0</v>
      </c>
      <c r="P18" s="80" t="n">
        <f aca="false">SUM(N18:O18)</f>
        <v>0</v>
      </c>
      <c r="Q18" s="80" t="n">
        <f aca="false">+L18+D18</f>
        <v>0</v>
      </c>
      <c r="R18" s="89" t="n">
        <f aca="false">+L18+E18</f>
        <v>0</v>
      </c>
      <c r="S18" s="89"/>
      <c r="T18" s="90"/>
      <c r="U18" s="85"/>
      <c r="V18" s="85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customFormat="false" ht="15.75" hidden="false" customHeight="false" outlineLevel="0" collapsed="false">
      <c r="A19" s="87" t="s">
        <v>39</v>
      </c>
      <c r="B19" s="88" t="s">
        <v>30</v>
      </c>
      <c r="C19" s="79" t="s">
        <v>28</v>
      </c>
      <c r="D19" s="80" t="n">
        <v>0</v>
      </c>
      <c r="E19" s="80" t="n">
        <v>0</v>
      </c>
      <c r="F19" s="80" t="n">
        <v>0</v>
      </c>
      <c r="G19" s="80" t="n">
        <v>0</v>
      </c>
      <c r="H19" s="80"/>
      <c r="I19" s="80" t="n">
        <v>0</v>
      </c>
      <c r="J19" s="80" t="n">
        <v>0</v>
      </c>
      <c r="K19" s="80" t="n">
        <f aca="false">SUM(I19:J19)</f>
        <v>0</v>
      </c>
      <c r="L19" s="81" t="n">
        <f aca="false">+K19+H19</f>
        <v>0</v>
      </c>
      <c r="M19" s="80"/>
      <c r="N19" s="82" t="n">
        <v>0</v>
      </c>
      <c r="O19" s="82" t="n">
        <v>0</v>
      </c>
      <c r="P19" s="82" t="n">
        <f aca="false">SUM(N19:O19)</f>
        <v>0</v>
      </c>
      <c r="Q19" s="80" t="n">
        <f aca="false">+L19</f>
        <v>0</v>
      </c>
      <c r="R19" s="89" t="n">
        <v>0</v>
      </c>
      <c r="S19" s="89" t="s">
        <v>40</v>
      </c>
      <c r="T19" s="90"/>
      <c r="U19" s="85"/>
      <c r="V19" s="85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customFormat="false" ht="16.5" hidden="false" customHeight="false" outlineLevel="0" collapsed="false">
      <c r="A20" s="91" t="s">
        <v>39</v>
      </c>
      <c r="B20" s="92" t="s">
        <v>41</v>
      </c>
      <c r="C20" s="93" t="s">
        <v>31</v>
      </c>
      <c r="D20" s="94" t="n">
        <v>0</v>
      </c>
      <c r="E20" s="94" t="n">
        <v>0</v>
      </c>
      <c r="F20" s="94" t="n">
        <v>160804</v>
      </c>
      <c r="G20" s="94" t="n">
        <v>0</v>
      </c>
      <c r="H20" s="94" t="n">
        <f aca="false">SUM(F20:G20)</f>
        <v>160804</v>
      </c>
      <c r="I20" s="94" t="n">
        <v>0</v>
      </c>
      <c r="J20" s="94" t="n">
        <v>0</v>
      </c>
      <c r="K20" s="94" t="n">
        <f aca="false">SUM(I20:J20)</f>
        <v>0</v>
      </c>
      <c r="L20" s="95" t="n">
        <f aca="false">+K20+H20</f>
        <v>160804</v>
      </c>
      <c r="M20" s="94"/>
      <c r="N20" s="94" t="n">
        <v>0</v>
      </c>
      <c r="O20" s="94" t="n">
        <v>0</v>
      </c>
      <c r="P20" s="94" t="n">
        <f aca="false">SUM(N20:O20)</f>
        <v>0</v>
      </c>
      <c r="Q20" s="94" t="n">
        <f aca="false">+L20+E20</f>
        <v>160804</v>
      </c>
      <c r="R20" s="96" t="n">
        <v>0</v>
      </c>
      <c r="S20" s="97" t="s">
        <v>42</v>
      </c>
      <c r="T20" s="98"/>
      <c r="U20" s="99"/>
      <c r="V20" s="99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  <c r="IW20" s="100"/>
    </row>
    <row r="21" customFormat="false" ht="17.25" hidden="false" customHeight="false" outlineLevel="0" collapsed="false">
      <c r="A21" s="101" t="s">
        <v>43</v>
      </c>
      <c r="B21" s="102"/>
      <c r="C21" s="102"/>
      <c r="D21" s="64"/>
      <c r="E21" s="103"/>
      <c r="F21" s="103"/>
      <c r="G21" s="103"/>
      <c r="H21" s="64"/>
      <c r="I21" s="103"/>
      <c r="J21" s="103"/>
      <c r="K21" s="103"/>
      <c r="L21" s="103"/>
      <c r="M21" s="55"/>
      <c r="N21" s="55"/>
      <c r="O21" s="55"/>
      <c r="P21" s="55"/>
      <c r="Q21" s="103"/>
      <c r="R21" s="104"/>
      <c r="S21" s="105" t="n">
        <f aca="false">IF(SUM(Q17:Q20)&gt;-SUM(R17:R20),SUM(Q17:Q20),0)</f>
        <v>160804</v>
      </c>
      <c r="T21" s="106"/>
      <c r="U21" s="76" t="s">
        <v>44</v>
      </c>
      <c r="V21" s="76"/>
    </row>
    <row r="22" customFormat="false" ht="15.75" hidden="false" customHeight="false" outlineLevel="0" collapsed="false">
      <c r="A22" s="107"/>
      <c r="B22" s="102"/>
      <c r="C22" s="102"/>
      <c r="D22" s="64"/>
      <c r="E22" s="103"/>
      <c r="F22" s="103"/>
      <c r="G22" s="103"/>
      <c r="H22" s="64"/>
      <c r="I22" s="103"/>
      <c r="J22" s="103"/>
      <c r="K22" s="103"/>
      <c r="L22" s="103"/>
      <c r="M22" s="55"/>
      <c r="N22" s="55"/>
      <c r="O22" s="55"/>
      <c r="P22" s="55"/>
      <c r="Q22" s="103"/>
      <c r="R22" s="104"/>
      <c r="S22" s="104"/>
      <c r="T22" s="106"/>
      <c r="U22" s="76"/>
      <c r="V22" s="76"/>
    </row>
    <row r="23" customFormat="false" ht="18.75" hidden="true" customHeight="true" outlineLevel="0" collapsed="false">
      <c r="A23" s="108" t="s">
        <v>45</v>
      </c>
      <c r="B23" s="109" t="s">
        <v>46</v>
      </c>
      <c r="C23" s="79" t="s">
        <v>28</v>
      </c>
      <c r="D23" s="80" t="n">
        <v>0</v>
      </c>
      <c r="E23" s="80" t="n">
        <v>0</v>
      </c>
      <c r="F23" s="80" t="n">
        <v>0</v>
      </c>
      <c r="G23" s="80" t="n">
        <v>0</v>
      </c>
      <c r="H23" s="80" t="n">
        <f aca="false">SUM(F23:G23)</f>
        <v>0</v>
      </c>
      <c r="I23" s="80" t="n">
        <v>0</v>
      </c>
      <c r="J23" s="80" t="n">
        <v>0</v>
      </c>
      <c r="K23" s="80" t="n">
        <f aca="false">SUM(I23:J23)</f>
        <v>0</v>
      </c>
      <c r="L23" s="81" t="n">
        <f aca="false">+K23+H23</f>
        <v>0</v>
      </c>
      <c r="M23" s="34" t="n">
        <v>0</v>
      </c>
      <c r="N23" s="38" t="n">
        <v>0</v>
      </c>
      <c r="O23" s="38" t="n">
        <v>0</v>
      </c>
      <c r="P23" s="37" t="n">
        <f aca="false">SUM(N23:O23)</f>
        <v>0</v>
      </c>
      <c r="Q23" s="80" t="n">
        <f aca="false">+L23+E23</f>
        <v>0</v>
      </c>
      <c r="R23" s="89" t="n">
        <v>0</v>
      </c>
      <c r="S23" s="89"/>
      <c r="T23" s="90"/>
      <c r="U23" s="85"/>
      <c r="V23" s="85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</row>
    <row r="24" customFormat="false" ht="15.75" hidden="false" customHeight="false" outlineLevel="0" collapsed="false">
      <c r="A24" s="87" t="s">
        <v>45</v>
      </c>
      <c r="B24" s="109" t="s">
        <v>47</v>
      </c>
      <c r="C24" s="79" t="s">
        <v>48</v>
      </c>
      <c r="D24" s="80" t="n">
        <v>0</v>
      </c>
      <c r="E24" s="80" t="n">
        <v>276012</v>
      </c>
      <c r="F24" s="80" t="n">
        <v>0</v>
      </c>
      <c r="G24" s="80" t="n">
        <v>0</v>
      </c>
      <c r="H24" s="80" t="n">
        <f aca="false">SUM(F24:G24)</f>
        <v>0</v>
      </c>
      <c r="I24" s="80" t="n">
        <v>0</v>
      </c>
      <c r="J24" s="80" t="n">
        <v>0</v>
      </c>
      <c r="K24" s="80" t="n">
        <f aca="false">SUM(I24:J24)</f>
        <v>0</v>
      </c>
      <c r="L24" s="81" t="n">
        <f aca="false">+K24+H24</f>
        <v>0</v>
      </c>
      <c r="M24" s="80"/>
      <c r="N24" s="38" t="n">
        <v>0</v>
      </c>
      <c r="O24" s="38" t="n">
        <v>0</v>
      </c>
      <c r="P24" s="37" t="n">
        <f aca="false">SUM(N24:O24)</f>
        <v>0</v>
      </c>
      <c r="Q24" s="80" t="n">
        <f aca="false">+L24+E24</f>
        <v>276012</v>
      </c>
      <c r="R24" s="89" t="n">
        <v>0</v>
      </c>
      <c r="S24" s="89" t="s">
        <v>49</v>
      </c>
      <c r="T24" s="90"/>
      <c r="U24" s="85"/>
      <c r="V24" s="85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</row>
    <row r="25" customFormat="false" ht="15.75" hidden="false" customHeight="false" outlineLevel="0" collapsed="false">
      <c r="A25" s="87" t="s">
        <v>45</v>
      </c>
      <c r="B25" s="109" t="s">
        <v>29</v>
      </c>
      <c r="C25" s="79" t="s">
        <v>28</v>
      </c>
      <c r="D25" s="80" t="n">
        <v>-3978017</v>
      </c>
      <c r="E25" s="81" t="n">
        <v>0</v>
      </c>
      <c r="F25" s="81" t="n">
        <v>0</v>
      </c>
      <c r="G25" s="81" t="n">
        <v>0</v>
      </c>
      <c r="H25" s="80" t="n">
        <f aca="false">SUM(F25:G25)</f>
        <v>0</v>
      </c>
      <c r="I25" s="81" t="n">
        <v>0</v>
      </c>
      <c r="J25" s="81" t="n">
        <v>0</v>
      </c>
      <c r="K25" s="80" t="n">
        <f aca="false">SUM(I25:J25)</f>
        <v>0</v>
      </c>
      <c r="L25" s="81" t="n">
        <f aca="false">+K25+H25</f>
        <v>0</v>
      </c>
      <c r="M25" s="81" t="n">
        <v>0</v>
      </c>
      <c r="N25" s="38" t="n">
        <v>0</v>
      </c>
      <c r="O25" s="38" t="n">
        <v>0</v>
      </c>
      <c r="P25" s="37" t="n">
        <f aca="false">SUM(N25:O25)</f>
        <v>0</v>
      </c>
      <c r="Q25" s="80" t="n">
        <f aca="false">+L25+E25</f>
        <v>0</v>
      </c>
      <c r="R25" s="89" t="n">
        <f aca="false">+D25</f>
        <v>-3978017</v>
      </c>
      <c r="S25" s="89"/>
      <c r="T25" s="90"/>
      <c r="U25" s="85"/>
      <c r="V25" s="85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</row>
    <row r="26" customFormat="false" ht="15.75" hidden="false" customHeight="false" outlineLevel="0" collapsed="false">
      <c r="A26" s="87" t="s">
        <v>45</v>
      </c>
      <c r="B26" s="109" t="s">
        <v>29</v>
      </c>
      <c r="C26" s="79" t="s">
        <v>28</v>
      </c>
      <c r="D26" s="81" t="n">
        <v>0</v>
      </c>
      <c r="E26" s="80" t="n">
        <v>-1132729</v>
      </c>
      <c r="F26" s="85" t="n">
        <v>0</v>
      </c>
      <c r="G26" s="85" t="n">
        <v>0</v>
      </c>
      <c r="H26" s="80" t="n">
        <f aca="false">SUM(F26:G26)</f>
        <v>0</v>
      </c>
      <c r="I26" s="80" t="n">
        <v>488175</v>
      </c>
      <c r="J26" s="80" t="n">
        <f aca="false">-(488175/384517*249750)</f>
        <v>-317077.544685931</v>
      </c>
      <c r="K26" s="80" t="n">
        <f aca="false">SUM(I26:J26)</f>
        <v>171097.455314069</v>
      </c>
      <c r="L26" s="81" t="n">
        <v>0</v>
      </c>
      <c r="M26" s="80" t="n">
        <v>758150</v>
      </c>
      <c r="N26" s="82" t="n">
        <v>480776</v>
      </c>
      <c r="O26" s="82" t="n">
        <f aca="false">-480776/392250*249750</f>
        <v>-306115.502868069</v>
      </c>
      <c r="P26" s="37" t="n">
        <f aca="false">SUM(N26:O26)</f>
        <v>174660.497131931</v>
      </c>
      <c r="Q26" s="80" t="n">
        <v>0</v>
      </c>
      <c r="R26" s="89" t="n">
        <f aca="false">+L26+E26</f>
        <v>-1132729</v>
      </c>
      <c r="S26" s="89"/>
      <c r="T26" s="90"/>
      <c r="U26" s="85"/>
      <c r="V26" s="85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</row>
    <row r="27" customFormat="false" ht="15.75" hidden="false" customHeight="false" outlineLevel="0" collapsed="false">
      <c r="A27" s="87" t="s">
        <v>45</v>
      </c>
      <c r="B27" s="109" t="s">
        <v>33</v>
      </c>
      <c r="C27" s="79" t="s">
        <v>28</v>
      </c>
      <c r="D27" s="81" t="n">
        <v>0</v>
      </c>
      <c r="E27" s="81" t="n">
        <v>32421647</v>
      </c>
      <c r="F27" s="81" t="n">
        <v>0</v>
      </c>
      <c r="G27" s="81" t="n">
        <v>0</v>
      </c>
      <c r="H27" s="80" t="n">
        <f aca="false">SUM(F27:G27)</f>
        <v>0</v>
      </c>
      <c r="I27" s="81" t="n">
        <v>0</v>
      </c>
      <c r="J27" s="81" t="n">
        <v>0</v>
      </c>
      <c r="K27" s="80" t="n">
        <f aca="false">SUM(I27:J27)</f>
        <v>0</v>
      </c>
      <c r="L27" s="81" t="n">
        <f aca="false">+K27+H27</f>
        <v>0</v>
      </c>
      <c r="M27" s="81" t="n">
        <v>0</v>
      </c>
      <c r="N27" s="38" t="n">
        <v>0</v>
      </c>
      <c r="O27" s="38" t="n">
        <v>0</v>
      </c>
      <c r="P27" s="37" t="n">
        <f aca="false">SUM(N27:O27)</f>
        <v>0</v>
      </c>
      <c r="Q27" s="80" t="n">
        <f aca="false">+L27+E27</f>
        <v>32421647</v>
      </c>
      <c r="R27" s="89" t="n">
        <v>0</v>
      </c>
      <c r="S27" s="89"/>
      <c r="T27" s="90"/>
      <c r="U27" s="85"/>
      <c r="V27" s="85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</row>
    <row r="28" customFormat="false" ht="63.75" hidden="false" customHeight="false" outlineLevel="0" collapsed="false">
      <c r="A28" s="110" t="s">
        <v>45</v>
      </c>
      <c r="B28" s="111" t="s">
        <v>30</v>
      </c>
      <c r="C28" s="112" t="s">
        <v>28</v>
      </c>
      <c r="D28" s="113" t="n">
        <v>0</v>
      </c>
      <c r="E28" s="113" t="n">
        <v>87869875</v>
      </c>
      <c r="F28" s="114" t="n">
        <v>69428963</v>
      </c>
      <c r="G28" s="114" t="n">
        <f aca="false">-92364608-975600</f>
        <v>-93340208</v>
      </c>
      <c r="H28" s="113" t="n">
        <f aca="false">SUM(F28:G28)</f>
        <v>-23911245</v>
      </c>
      <c r="I28" s="113" t="n">
        <f aca="false">31024744+48517883</f>
        <v>79542627</v>
      </c>
      <c r="J28" s="113" t="n">
        <f aca="false">-27567512-39962110</f>
        <v>-67529622</v>
      </c>
      <c r="K28" s="113" t="n">
        <f aca="false">SUM(I28:J28)</f>
        <v>12013005</v>
      </c>
      <c r="L28" s="115" t="n">
        <v>-19752699</v>
      </c>
      <c r="M28" s="113" t="n">
        <v>221533072</v>
      </c>
      <c r="N28" s="38" t="n">
        <f aca="false">2666869+58456978</f>
        <v>61123847</v>
      </c>
      <c r="O28" s="37" t="n">
        <f aca="false">-3791004-58720592</f>
        <v>-62511596</v>
      </c>
      <c r="P28" s="37" t="n">
        <f aca="false">SUM(N28:O28)</f>
        <v>-1387749</v>
      </c>
      <c r="Q28" s="113" t="n">
        <f aca="false">+E28+L28</f>
        <v>68117176</v>
      </c>
      <c r="R28" s="116" t="n">
        <v>0</v>
      </c>
      <c r="S28" s="117" t="s">
        <v>50</v>
      </c>
      <c r="T28" s="90"/>
      <c r="U28" s="85"/>
      <c r="V28" s="85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  <c r="IW28" s="86"/>
    </row>
    <row r="29" customFormat="false" ht="17.25" hidden="false" customHeight="false" outlineLevel="0" collapsed="false">
      <c r="A29" s="101" t="s">
        <v>51</v>
      </c>
      <c r="B29" s="118"/>
      <c r="C29" s="118"/>
      <c r="D29" s="118"/>
      <c r="E29" s="118"/>
      <c r="F29" s="103"/>
      <c r="G29" s="103"/>
      <c r="H29" s="64"/>
      <c r="I29" s="103"/>
      <c r="J29" s="103"/>
      <c r="K29" s="103"/>
      <c r="L29" s="103"/>
      <c r="M29" s="55"/>
      <c r="N29" s="55"/>
      <c r="O29" s="55"/>
      <c r="P29" s="55"/>
      <c r="Q29" s="103"/>
      <c r="R29" s="119"/>
      <c r="S29" s="105" t="n">
        <f aca="false">IF(SUM(Q24:Q28)&gt;-SUM(R24:R28),SUM(Q24:Q28),0)</f>
        <v>100814835</v>
      </c>
      <c r="T29" s="106"/>
      <c r="U29" s="76" t="s">
        <v>44</v>
      </c>
      <c r="V29" s="76"/>
    </row>
    <row r="30" customFormat="false" ht="16.5" hidden="false" customHeight="false" outlineLevel="0" collapsed="false">
      <c r="A30" s="120"/>
      <c r="B30" s="118"/>
      <c r="C30" s="118"/>
      <c r="D30" s="64"/>
      <c r="E30" s="103"/>
      <c r="F30" s="103"/>
      <c r="G30" s="103"/>
      <c r="H30" s="64"/>
      <c r="I30" s="103"/>
      <c r="J30" s="103"/>
      <c r="K30" s="103"/>
      <c r="L30" s="103"/>
      <c r="M30" s="55"/>
      <c r="N30" s="55"/>
      <c r="O30" s="55"/>
      <c r="P30" s="55"/>
      <c r="Q30" s="103"/>
      <c r="R30" s="119"/>
      <c r="S30" s="119"/>
      <c r="T30" s="106"/>
      <c r="U30" s="76"/>
      <c r="V30" s="76"/>
    </row>
    <row r="31" customFormat="false" ht="30" hidden="true" customHeight="false" outlineLevel="0" collapsed="false">
      <c r="A31" s="121" t="s">
        <v>52</v>
      </c>
      <c r="B31" s="122" t="s">
        <v>33</v>
      </c>
      <c r="C31" s="123" t="s">
        <v>31</v>
      </c>
      <c r="D31" s="115" t="n">
        <v>0</v>
      </c>
      <c r="E31" s="115" t="n">
        <v>0</v>
      </c>
      <c r="F31" s="115" t="n">
        <v>0</v>
      </c>
      <c r="G31" s="115" t="n">
        <v>0</v>
      </c>
      <c r="H31" s="113" t="n">
        <f aca="false">SUM(F31:G31)</f>
        <v>0</v>
      </c>
      <c r="I31" s="115" t="n">
        <v>0</v>
      </c>
      <c r="J31" s="115" t="n">
        <v>0</v>
      </c>
      <c r="K31" s="113" t="n">
        <f aca="false">SUM(I31:J31)</f>
        <v>0</v>
      </c>
      <c r="L31" s="115" t="n">
        <f aca="false">+K31+H31</f>
        <v>0</v>
      </c>
      <c r="M31" s="115"/>
      <c r="N31" s="37" t="n">
        <v>0</v>
      </c>
      <c r="O31" s="37" t="n">
        <v>0</v>
      </c>
      <c r="P31" s="124" t="n">
        <f aca="false">SUM(N31:O31)</f>
        <v>0</v>
      </c>
      <c r="Q31" s="113" t="n">
        <f aca="false">+L31+E31</f>
        <v>0</v>
      </c>
      <c r="R31" s="116" t="n">
        <v>0</v>
      </c>
      <c r="S31" s="125" t="s">
        <v>53</v>
      </c>
      <c r="T31" s="126"/>
      <c r="U31" s="127"/>
      <c r="V31" s="127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</row>
    <row r="32" customFormat="false" ht="16.5" hidden="true" customHeight="false" outlineLevel="0" collapsed="false">
      <c r="A32" s="129" t="s">
        <v>54</v>
      </c>
      <c r="B32" s="88" t="s">
        <v>29</v>
      </c>
      <c r="C32" s="79" t="s">
        <v>28</v>
      </c>
      <c r="D32" s="80" t="n">
        <v>0</v>
      </c>
      <c r="E32" s="80" t="n">
        <v>0</v>
      </c>
      <c r="F32" s="80" t="n">
        <v>0</v>
      </c>
      <c r="G32" s="80" t="n">
        <v>0</v>
      </c>
      <c r="H32" s="80" t="n">
        <f aca="false">SUM(F32:G32)</f>
        <v>0</v>
      </c>
      <c r="I32" s="80" t="n">
        <v>9</v>
      </c>
      <c r="J32" s="80" t="n">
        <v>0</v>
      </c>
      <c r="K32" s="80" t="n">
        <v>0</v>
      </c>
      <c r="L32" s="81" t="n">
        <f aca="false">+K32+H32</f>
        <v>0</v>
      </c>
      <c r="M32" s="80" t="n">
        <v>997337</v>
      </c>
      <c r="N32" s="82" t="n">
        <v>0</v>
      </c>
      <c r="O32" s="82" t="n">
        <v>0</v>
      </c>
      <c r="P32" s="82" t="n">
        <f aca="false">SUM(N32:O32)</f>
        <v>0</v>
      </c>
      <c r="Q32" s="80" t="n">
        <f aca="false">+L32+E32</f>
        <v>0</v>
      </c>
      <c r="R32" s="89" t="n">
        <v>0</v>
      </c>
      <c r="S32" s="125"/>
      <c r="T32" s="126"/>
      <c r="U32" s="127"/>
      <c r="V32" s="127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8"/>
      <c r="HV32" s="128"/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8"/>
      <c r="IK32" s="128"/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</row>
    <row r="33" customFormat="false" ht="17.25" hidden="true" customHeight="false" outlineLevel="0" collapsed="false">
      <c r="A33" s="130" t="s">
        <v>55</v>
      </c>
      <c r="B33" s="131"/>
      <c r="C33" s="131"/>
      <c r="D33" s="64"/>
      <c r="E33" s="103"/>
      <c r="F33" s="103"/>
      <c r="G33" s="103"/>
      <c r="H33" s="64"/>
      <c r="I33" s="103"/>
      <c r="J33" s="103"/>
      <c r="K33" s="103"/>
      <c r="L33" s="103"/>
      <c r="M33" s="55"/>
      <c r="N33" s="55"/>
      <c r="O33" s="55"/>
      <c r="P33" s="55"/>
      <c r="Q33" s="103"/>
      <c r="R33" s="103"/>
      <c r="S33" s="105" t="n">
        <f aca="false">+Q31+Q32</f>
        <v>0</v>
      </c>
      <c r="T33" s="106"/>
      <c r="U33" s="76" t="s">
        <v>44</v>
      </c>
      <c r="V33" s="76"/>
      <c r="W33" s="76" t="n">
        <f aca="false">+Q35+Q36+Q38</f>
        <v>5309164</v>
      </c>
    </row>
    <row r="34" customFormat="false" ht="15.75" hidden="true" customHeight="false" outlineLevel="0" collapsed="false">
      <c r="A34" s="132"/>
      <c r="B34" s="131"/>
      <c r="C34" s="131"/>
      <c r="D34" s="64"/>
      <c r="E34" s="103"/>
      <c r="F34" s="103"/>
      <c r="G34" s="103"/>
      <c r="H34" s="64"/>
      <c r="I34" s="103"/>
      <c r="J34" s="103"/>
      <c r="K34" s="103"/>
      <c r="L34" s="103"/>
      <c r="M34" s="55"/>
      <c r="N34" s="55"/>
      <c r="O34" s="55"/>
      <c r="P34" s="55"/>
      <c r="Q34" s="103"/>
      <c r="R34" s="104"/>
      <c r="S34" s="104"/>
      <c r="T34" s="106"/>
      <c r="U34" s="76"/>
      <c r="V34" s="76"/>
    </row>
    <row r="35" customFormat="false" ht="15.75" hidden="false" customHeight="false" outlineLevel="0" collapsed="false">
      <c r="A35" s="133" t="s">
        <v>56</v>
      </c>
      <c r="B35" s="134" t="s">
        <v>27</v>
      </c>
      <c r="C35" s="112" t="s">
        <v>28</v>
      </c>
      <c r="D35" s="113" t="n">
        <v>4888413</v>
      </c>
      <c r="E35" s="115" t="n">
        <v>0</v>
      </c>
      <c r="F35" s="115" t="n">
        <v>0</v>
      </c>
      <c r="G35" s="115" t="n">
        <v>0</v>
      </c>
      <c r="H35" s="113" t="n">
        <f aca="false">SUM(F35:G35)</f>
        <v>0</v>
      </c>
      <c r="I35" s="115" t="n">
        <v>0</v>
      </c>
      <c r="J35" s="115" t="n">
        <v>0</v>
      </c>
      <c r="K35" s="113" t="n">
        <f aca="false">SUM(I35:J35)</f>
        <v>0</v>
      </c>
      <c r="L35" s="115" t="n">
        <f aca="false">+K35+H35</f>
        <v>0</v>
      </c>
      <c r="M35" s="115" t="n">
        <v>13062536</v>
      </c>
      <c r="N35" s="38" t="n">
        <v>0</v>
      </c>
      <c r="O35" s="38" t="n">
        <v>0</v>
      </c>
      <c r="P35" s="37" t="n">
        <f aca="false">SUM(N35:O35)</f>
        <v>0</v>
      </c>
      <c r="Q35" s="113" t="n">
        <f aca="false">+L35+D35</f>
        <v>4888413</v>
      </c>
      <c r="R35" s="116" t="n">
        <v>0</v>
      </c>
      <c r="S35" s="135"/>
      <c r="T35" s="90"/>
      <c r="U35" s="85" t="s">
        <v>57</v>
      </c>
      <c r="V35" s="85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  <c r="IW35" s="86"/>
    </row>
    <row r="36" customFormat="false" ht="15.75" hidden="false" customHeight="false" outlineLevel="0" collapsed="false">
      <c r="A36" s="133" t="s">
        <v>56</v>
      </c>
      <c r="B36" s="134" t="s">
        <v>27</v>
      </c>
      <c r="C36" s="112" t="s">
        <v>28</v>
      </c>
      <c r="D36" s="115" t="n">
        <v>0</v>
      </c>
      <c r="E36" s="113" t="n">
        <v>-34345546</v>
      </c>
      <c r="F36" s="113" t="n">
        <v>46205153</v>
      </c>
      <c r="G36" s="113" t="n">
        <v>-25916160</v>
      </c>
      <c r="H36" s="113" t="n">
        <f aca="false">SUM(F36:G36)</f>
        <v>20288993</v>
      </c>
      <c r="I36" s="113" t="n">
        <v>41584308</v>
      </c>
      <c r="J36" s="113" t="n">
        <v>-27107009</v>
      </c>
      <c r="K36" s="113" t="n">
        <f aca="false">SUM(I36:J36)</f>
        <v>14477299</v>
      </c>
      <c r="L36" s="115" t="n">
        <v>34766297</v>
      </c>
      <c r="M36" s="113" t="n">
        <v>19833122</v>
      </c>
      <c r="N36" s="38" t="n">
        <v>41826750</v>
      </c>
      <c r="O36" s="38" t="n">
        <v>-27057381</v>
      </c>
      <c r="P36" s="37" t="n">
        <f aca="false">SUM(N36:O36)</f>
        <v>14769369</v>
      </c>
      <c r="Q36" s="113" t="n">
        <f aca="false">+L36+E36</f>
        <v>420751</v>
      </c>
      <c r="R36" s="116" t="n">
        <v>0</v>
      </c>
      <c r="S36" s="135"/>
      <c r="T36" s="90"/>
      <c r="U36" s="85" t="s">
        <v>57</v>
      </c>
      <c r="V36" s="85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  <c r="IW36" s="86"/>
    </row>
    <row r="37" customFormat="false" ht="15.75" hidden="false" customHeight="false" outlineLevel="0" collapsed="false">
      <c r="A37" s="87" t="s">
        <v>56</v>
      </c>
      <c r="B37" s="109" t="s">
        <v>29</v>
      </c>
      <c r="C37" s="112" t="s">
        <v>28</v>
      </c>
      <c r="D37" s="115" t="n">
        <v>0</v>
      </c>
      <c r="E37" s="113" t="n">
        <v>0</v>
      </c>
      <c r="F37" s="113" t="n">
        <v>0</v>
      </c>
      <c r="G37" s="113" t="n">
        <v>0</v>
      </c>
      <c r="H37" s="113" t="n">
        <f aca="false">SUM(F37:G37)</f>
        <v>0</v>
      </c>
      <c r="I37" s="113" t="n">
        <v>0</v>
      </c>
      <c r="J37" s="113" t="n">
        <v>0</v>
      </c>
      <c r="K37" s="113" t="n">
        <f aca="false">SUM(I37:J37)</f>
        <v>0</v>
      </c>
      <c r="L37" s="115" t="n">
        <f aca="false">+K37+H37</f>
        <v>0</v>
      </c>
      <c r="M37" s="113"/>
      <c r="N37" s="38"/>
      <c r="O37" s="38"/>
      <c r="P37" s="37"/>
      <c r="Q37" s="113" t="n">
        <f aca="false">+L37+D37</f>
        <v>0</v>
      </c>
      <c r="R37" s="116" t="n">
        <v>0</v>
      </c>
      <c r="S37" s="135"/>
      <c r="T37" s="90"/>
      <c r="U37" s="85"/>
      <c r="V37" s="85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  <c r="IW37" s="86"/>
    </row>
    <row r="38" customFormat="false" ht="16.5" hidden="false" customHeight="false" outlineLevel="0" collapsed="false">
      <c r="A38" s="87" t="s">
        <v>56</v>
      </c>
      <c r="B38" s="109" t="s">
        <v>29</v>
      </c>
      <c r="C38" s="79" t="s">
        <v>28</v>
      </c>
      <c r="D38" s="113" t="n">
        <v>0</v>
      </c>
      <c r="E38" s="113" t="n">
        <v>-163375</v>
      </c>
      <c r="F38" s="35" t="n">
        <v>1942306.8</v>
      </c>
      <c r="G38" s="35" t="n">
        <v>-3884613.6</v>
      </c>
      <c r="H38" s="80" t="n">
        <f aca="false">SUM(F38:G38)</f>
        <v>-1942306.8</v>
      </c>
      <c r="I38" s="80" t="n">
        <v>1937750</v>
      </c>
      <c r="J38" s="80" t="n">
        <v>-3326300</v>
      </c>
      <c r="K38" s="80" t="n">
        <f aca="false">SUM(I38:J38)</f>
        <v>-1388550</v>
      </c>
      <c r="L38" s="81" t="n">
        <f aca="false">+K38+H38</f>
        <v>-3330856.8</v>
      </c>
      <c r="M38" s="80" t="n">
        <v>-3205556</v>
      </c>
      <c r="N38" s="38" t="n">
        <v>1753980</v>
      </c>
      <c r="O38" s="38" t="n">
        <v>-3507960</v>
      </c>
      <c r="P38" s="37" t="n">
        <f aca="false">SUM(N38:O38)</f>
        <v>-1753980</v>
      </c>
      <c r="Q38" s="80" t="n">
        <v>0</v>
      </c>
      <c r="R38" s="89" t="n">
        <f aca="false">+L38+E38+D38</f>
        <v>-3494231.8</v>
      </c>
      <c r="S38" s="89"/>
      <c r="T38" s="90"/>
      <c r="U38" s="85"/>
      <c r="V38" s="85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</row>
    <row r="39" customFormat="false" ht="17.25" hidden="false" customHeight="false" outlineLevel="0" collapsed="false">
      <c r="A39" s="107" t="s">
        <v>58</v>
      </c>
      <c r="B39" s="102"/>
      <c r="C39" s="102"/>
      <c r="D39" s="102"/>
      <c r="E39" s="102"/>
      <c r="F39" s="103"/>
      <c r="G39" s="103"/>
      <c r="H39" s="64"/>
      <c r="I39" s="103"/>
      <c r="J39" s="103"/>
      <c r="K39" s="103"/>
      <c r="L39" s="103"/>
      <c r="M39" s="55"/>
      <c r="N39" s="55"/>
      <c r="O39" s="55"/>
      <c r="P39" s="55"/>
      <c r="Q39" s="103"/>
      <c r="R39" s="104"/>
      <c r="S39" s="105" t="n">
        <f aca="false">IF(SUM(Q35:Q38)&gt;-SUM(R35:R38),SUM(Q35:Q38)+R35+R36,0)</f>
        <v>5309164</v>
      </c>
      <c r="T39" s="106"/>
      <c r="U39" s="76"/>
      <c r="V39" s="76"/>
    </row>
    <row r="40" customFormat="false" ht="15.75" hidden="false" customHeight="false" outlineLevel="0" collapsed="false">
      <c r="A40" s="107"/>
      <c r="B40" s="102"/>
      <c r="C40" s="102"/>
      <c r="D40" s="64"/>
      <c r="E40" s="103"/>
      <c r="F40" s="103"/>
      <c r="G40" s="103"/>
      <c r="H40" s="64"/>
      <c r="I40" s="103"/>
      <c r="J40" s="103"/>
      <c r="K40" s="103"/>
      <c r="L40" s="103"/>
      <c r="M40" s="55"/>
      <c r="N40" s="55"/>
      <c r="O40" s="55"/>
      <c r="P40" s="55"/>
      <c r="Q40" s="103"/>
      <c r="R40" s="104"/>
      <c r="S40" s="104"/>
      <c r="T40" s="106"/>
      <c r="U40" s="76"/>
      <c r="V40" s="76"/>
    </row>
    <row r="41" customFormat="false" ht="15.75" hidden="false" customHeight="false" outlineLevel="0" collapsed="false">
      <c r="A41" s="87" t="s">
        <v>59</v>
      </c>
      <c r="B41" s="88" t="s">
        <v>27</v>
      </c>
      <c r="C41" s="79" t="s">
        <v>28</v>
      </c>
      <c r="D41" s="80" t="n">
        <v>0</v>
      </c>
      <c r="E41" s="80" t="n">
        <v>83516</v>
      </c>
      <c r="F41" s="80" t="n">
        <v>0</v>
      </c>
      <c r="G41" s="80" t="n">
        <v>-913920</v>
      </c>
      <c r="H41" s="80" t="n">
        <f aca="false">SUM(F41:G41)</f>
        <v>-913920</v>
      </c>
      <c r="I41" s="80" t="n">
        <v>0</v>
      </c>
      <c r="J41" s="80" t="n">
        <v>-811115</v>
      </c>
      <c r="K41" s="80" t="n">
        <f aca="false">SUM(I41:J41)</f>
        <v>-811115</v>
      </c>
      <c r="L41" s="81" t="n">
        <f aca="false">+K41+H41</f>
        <v>-1725035</v>
      </c>
      <c r="M41" s="80" t="n">
        <v>-2501719</v>
      </c>
      <c r="N41" s="38" t="n">
        <v>0</v>
      </c>
      <c r="O41" s="37" t="n">
        <v>-811115</v>
      </c>
      <c r="P41" s="37" t="n">
        <f aca="false">SUM(N41:O41)</f>
        <v>-811115</v>
      </c>
      <c r="Q41" s="80" t="n">
        <v>0</v>
      </c>
      <c r="R41" s="89" t="n">
        <f aca="false">+L41+E41</f>
        <v>-1641519</v>
      </c>
      <c r="S41" s="89"/>
      <c r="T41" s="90"/>
      <c r="U41" s="85"/>
      <c r="V41" s="85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  <c r="IW41" s="86"/>
    </row>
    <row r="42" customFormat="false" ht="15.75" hidden="false" customHeight="false" outlineLevel="0" collapsed="false">
      <c r="A42" s="87" t="s">
        <v>59</v>
      </c>
      <c r="B42" s="88" t="s">
        <v>29</v>
      </c>
      <c r="C42" s="79" t="s">
        <v>28</v>
      </c>
      <c r="D42" s="80" t="n">
        <v>67890487</v>
      </c>
      <c r="E42" s="81" t="n">
        <v>0</v>
      </c>
      <c r="F42" s="81" t="n">
        <v>0</v>
      </c>
      <c r="G42" s="81" t="n">
        <v>0</v>
      </c>
      <c r="H42" s="80" t="n">
        <f aca="false">SUM(F42:G42)</f>
        <v>0</v>
      </c>
      <c r="I42" s="81" t="n">
        <v>0</v>
      </c>
      <c r="J42" s="81" t="n">
        <v>0</v>
      </c>
      <c r="K42" s="80" t="n">
        <f aca="false">SUM(I42:J42)</f>
        <v>0</v>
      </c>
      <c r="L42" s="81" t="n">
        <f aca="false">+K42+H42</f>
        <v>0</v>
      </c>
      <c r="M42" s="81" t="n">
        <v>-22486468</v>
      </c>
      <c r="N42" s="38" t="n">
        <v>0</v>
      </c>
      <c r="O42" s="38" t="n">
        <v>0</v>
      </c>
      <c r="P42" s="37" t="n">
        <f aca="false">SUM(N42:O42)</f>
        <v>0</v>
      </c>
      <c r="Q42" s="81" t="n">
        <f aca="false">+L42+E42+D42</f>
        <v>67890487</v>
      </c>
      <c r="R42" s="89" t="n">
        <v>0</v>
      </c>
      <c r="S42" s="89"/>
      <c r="T42" s="90"/>
      <c r="U42" s="85"/>
      <c r="V42" s="85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  <c r="IW42" s="86"/>
    </row>
    <row r="43" customFormat="false" ht="15.75" hidden="false" customHeight="false" outlineLevel="0" collapsed="false">
      <c r="A43" s="133" t="s">
        <v>59</v>
      </c>
      <c r="B43" s="136" t="s">
        <v>29</v>
      </c>
      <c r="C43" s="112" t="s">
        <v>28</v>
      </c>
      <c r="D43" s="115" t="n">
        <v>0</v>
      </c>
      <c r="E43" s="80" t="n">
        <v>-13500241</v>
      </c>
      <c r="F43" s="114" t="n">
        <v>15577739.46</v>
      </c>
      <c r="G43" s="114" t="n">
        <v>-34033547.29</v>
      </c>
      <c r="H43" s="113" t="n">
        <f aca="false">SUM(F43:G43)</f>
        <v>-18455807.83</v>
      </c>
      <c r="I43" s="113" t="n">
        <v>27474127</v>
      </c>
      <c r="J43" s="113" t="n">
        <v>-45263693</v>
      </c>
      <c r="K43" s="113" t="n">
        <f aca="false">SUM(I43:J43)</f>
        <v>-17789566</v>
      </c>
      <c r="L43" s="115" t="n">
        <v>-34646480</v>
      </c>
      <c r="M43" s="113" t="n">
        <v>-14187360</v>
      </c>
      <c r="N43" s="38" t="n">
        <v>23049168</v>
      </c>
      <c r="O43" s="38" t="n">
        <v>-37553339</v>
      </c>
      <c r="P43" s="37" t="n">
        <f aca="false">SUM(N43:O43)</f>
        <v>-14504171</v>
      </c>
      <c r="Q43" s="113" t="n">
        <v>0</v>
      </c>
      <c r="R43" s="116" t="n">
        <f aca="false">+L43+E43</f>
        <v>-48146721</v>
      </c>
      <c r="S43" s="135"/>
      <c r="T43" s="90"/>
      <c r="U43" s="85"/>
      <c r="V43" s="85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</row>
    <row r="44" customFormat="false" ht="15.75" hidden="false" customHeight="false" outlineLevel="0" collapsed="false">
      <c r="A44" s="87" t="s">
        <v>59</v>
      </c>
      <c r="B44" s="88" t="s">
        <v>60</v>
      </c>
      <c r="C44" s="79" t="s">
        <v>28</v>
      </c>
      <c r="D44" s="80" t="n">
        <v>0</v>
      </c>
      <c r="E44" s="80" t="n">
        <v>-10557</v>
      </c>
      <c r="F44" s="80" t="n">
        <v>3086822</v>
      </c>
      <c r="G44" s="80" t="n">
        <v>-129450</v>
      </c>
      <c r="H44" s="80" t="n">
        <f aca="false">SUM(F44:G44)</f>
        <v>2957372</v>
      </c>
      <c r="I44" s="80" t="n">
        <v>872375</v>
      </c>
      <c r="J44" s="80" t="n">
        <v>-520150</v>
      </c>
      <c r="K44" s="80" t="n">
        <f aca="false">SUM(I44:J44)</f>
        <v>352225</v>
      </c>
      <c r="L44" s="81" t="n">
        <f aca="false">+K44+H44</f>
        <v>3309597</v>
      </c>
      <c r="M44" s="80" t="n">
        <v>1507632</v>
      </c>
      <c r="N44" s="38" t="n">
        <v>827435</v>
      </c>
      <c r="O44" s="38" t="n">
        <v>-105500</v>
      </c>
      <c r="P44" s="37" t="n">
        <f aca="false">SUM(N44:O44)</f>
        <v>721935</v>
      </c>
      <c r="Q44" s="80" t="n">
        <f aca="false">+L44+E44</f>
        <v>3299040</v>
      </c>
      <c r="R44" s="89" t="n">
        <v>0</v>
      </c>
      <c r="S44" s="89"/>
      <c r="T44" s="90"/>
      <c r="U44" s="85"/>
      <c r="V44" s="85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</row>
    <row r="45" customFormat="false" ht="16.5" hidden="false" customHeight="false" outlineLevel="0" collapsed="false">
      <c r="A45" s="137" t="s">
        <v>61</v>
      </c>
      <c r="B45" s="138" t="s">
        <v>62</v>
      </c>
      <c r="C45" s="139" t="s">
        <v>31</v>
      </c>
      <c r="D45" s="81" t="n">
        <v>0</v>
      </c>
      <c r="E45" s="81" t="n">
        <v>-161301</v>
      </c>
      <c r="F45" s="81" t="n">
        <f aca="false">1509038</f>
        <v>1509038</v>
      </c>
      <c r="G45" s="81" t="n">
        <f aca="false">-377217-2266166</f>
        <v>-2643383</v>
      </c>
      <c r="H45" s="80" t="n">
        <f aca="false">SUM(F45:G45)</f>
        <v>-1134345</v>
      </c>
      <c r="I45" s="81" t="n">
        <v>0</v>
      </c>
      <c r="J45" s="81" t="n">
        <v>0</v>
      </c>
      <c r="K45" s="80" t="n">
        <f aca="false">SUM(I45:J45)</f>
        <v>0</v>
      </c>
      <c r="L45" s="81" t="n">
        <f aca="false">+K45+H45</f>
        <v>-1134345</v>
      </c>
      <c r="M45" s="81"/>
      <c r="N45" s="38" t="n">
        <v>0</v>
      </c>
      <c r="O45" s="38" t="n">
        <v>0</v>
      </c>
      <c r="P45" s="37" t="n">
        <f aca="false">SUM(N45:O45)</f>
        <v>0</v>
      </c>
      <c r="Q45" s="81" t="n">
        <v>0</v>
      </c>
      <c r="R45" s="89" t="n">
        <f aca="false">+L45+E45</f>
        <v>-1295646</v>
      </c>
      <c r="S45" s="140" t="s">
        <v>63</v>
      </c>
      <c r="T45" s="90"/>
      <c r="U45" s="85"/>
      <c r="V45" s="85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</row>
    <row r="46" customFormat="false" ht="17.25" hidden="false" customHeight="false" outlineLevel="0" collapsed="false">
      <c r="A46" s="141" t="s">
        <v>64</v>
      </c>
      <c r="B46" s="102"/>
      <c r="C46" s="102"/>
      <c r="D46" s="102"/>
      <c r="E46" s="102"/>
      <c r="F46" s="103"/>
      <c r="G46" s="64"/>
      <c r="H46" s="64"/>
      <c r="I46" s="103"/>
      <c r="J46" s="103" t="n">
        <f aca="false">SUM(J17:J45)</f>
        <v>-144874966.544686</v>
      </c>
      <c r="K46" s="103" t="n">
        <f aca="false">SUM(K17:K45)</f>
        <v>7024395.45531407</v>
      </c>
      <c r="L46" s="64"/>
      <c r="M46" s="55"/>
      <c r="N46" s="55"/>
      <c r="O46" s="55"/>
      <c r="P46" s="55"/>
      <c r="Q46" s="142"/>
      <c r="R46" s="143"/>
      <c r="S46" s="105" t="n">
        <f aca="false">IF(SUM(Q41:Q45)&gt;-SUM(R41:R45),SUM(Q41:Q45),0)</f>
        <v>71189527</v>
      </c>
      <c r="T46" s="106"/>
      <c r="U46" s="76" t="s">
        <v>44</v>
      </c>
      <c r="V46" s="76"/>
    </row>
    <row r="47" customFormat="false" ht="16.5" hidden="false" customHeight="false" outlineLevel="0" collapsed="false">
      <c r="A47" s="101" t="s">
        <v>65</v>
      </c>
      <c r="B47" s="102"/>
      <c r="C47" s="102"/>
      <c r="D47" s="64"/>
      <c r="E47" s="103"/>
      <c r="F47" s="103"/>
      <c r="G47" s="64"/>
      <c r="H47" s="64"/>
      <c r="I47" s="103"/>
      <c r="J47" s="103"/>
      <c r="K47" s="103"/>
      <c r="L47" s="64"/>
      <c r="M47" s="55"/>
      <c r="N47" s="55"/>
      <c r="O47" s="55"/>
      <c r="P47" s="55"/>
      <c r="Q47" s="103" t="n">
        <f aca="false">SUM(Q17:Q45)</f>
        <v>177474330</v>
      </c>
      <c r="R47" s="103" t="n">
        <f aca="false">SUM(R17:R45)</f>
        <v>-59688863.8</v>
      </c>
      <c r="S47" s="104"/>
      <c r="T47" s="106"/>
      <c r="U47" s="76"/>
      <c r="V47" s="76"/>
    </row>
    <row r="48" customFormat="false" ht="15.75" hidden="false" customHeight="false" outlineLevel="0" collapsed="false">
      <c r="A48" s="101"/>
      <c r="B48" s="102"/>
      <c r="C48" s="102"/>
      <c r="D48" s="64"/>
      <c r="E48" s="103"/>
      <c r="F48" s="103"/>
      <c r="G48" s="64"/>
      <c r="H48" s="64"/>
      <c r="I48" s="103"/>
      <c r="J48" s="103"/>
      <c r="K48" s="103"/>
      <c r="L48" s="64"/>
      <c r="M48" s="55"/>
      <c r="N48" s="55"/>
      <c r="O48" s="55"/>
      <c r="P48" s="55"/>
      <c r="Q48" s="103"/>
      <c r="R48" s="103"/>
      <c r="S48" s="104"/>
      <c r="T48" s="106"/>
      <c r="U48" s="76"/>
      <c r="V48" s="76"/>
    </row>
    <row r="49" customFormat="false" ht="15.75" hidden="false" customHeight="false" outlineLevel="0" collapsed="false">
      <c r="A49" s="144" t="s">
        <v>66</v>
      </c>
      <c r="B49" s="145"/>
      <c r="C49" s="145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55"/>
      <c r="O49" s="55"/>
      <c r="P49" s="55"/>
      <c r="Q49" s="146"/>
      <c r="R49" s="147"/>
      <c r="S49" s="148" t="n">
        <f aca="false">+S46+S39+S33+S29+S21</f>
        <v>177474330</v>
      </c>
      <c r="T49" s="149" t="s">
        <v>67</v>
      </c>
      <c r="U49" s="150"/>
      <c r="V49" s="151"/>
      <c r="W49" s="151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50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  <c r="IK49" s="150"/>
      <c r="IL49" s="150"/>
      <c r="IM49" s="150"/>
      <c r="IN49" s="150"/>
      <c r="IO49" s="150"/>
      <c r="IP49" s="150"/>
      <c r="IQ49" s="150"/>
      <c r="IR49" s="150"/>
      <c r="IS49" s="150"/>
      <c r="IT49" s="150"/>
      <c r="IU49" s="150"/>
      <c r="IV49" s="150"/>
      <c r="IW49" s="150"/>
    </row>
    <row r="50" customFormat="false" ht="15.75" hidden="false" customHeight="false" outlineLevel="0" collapsed="false">
      <c r="A50" s="144" t="s">
        <v>68</v>
      </c>
      <c r="B50" s="145"/>
      <c r="C50" s="145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55"/>
      <c r="O50" s="55"/>
      <c r="P50" s="55"/>
      <c r="Q50" s="146"/>
      <c r="R50" s="147"/>
      <c r="S50" s="152" t="n">
        <f aca="false">+R47-R36</f>
        <v>-59688863.8</v>
      </c>
      <c r="T50" s="149"/>
      <c r="U50" s="153" t="s">
        <v>69</v>
      </c>
      <c r="V50" s="154" t="s">
        <v>70</v>
      </c>
      <c r="W50" s="155"/>
      <c r="X50" s="156"/>
      <c r="Y50" s="156"/>
      <c r="Z50" s="156"/>
      <c r="AA50" s="156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50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  <c r="IK50" s="150"/>
      <c r="IL50" s="150"/>
      <c r="IM50" s="150"/>
      <c r="IN50" s="150"/>
      <c r="IO50" s="150"/>
      <c r="IP50" s="150"/>
      <c r="IQ50" s="150"/>
      <c r="IR50" s="150"/>
      <c r="IS50" s="150"/>
      <c r="IT50" s="150"/>
      <c r="IU50" s="150"/>
      <c r="IV50" s="150"/>
      <c r="IW50" s="150"/>
    </row>
    <row r="51" customFormat="false" ht="16.5" hidden="false" customHeight="false" outlineLevel="0" collapsed="false">
      <c r="A51" s="144" t="s">
        <v>71</v>
      </c>
      <c r="B51" s="145"/>
      <c r="C51" s="145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55"/>
      <c r="O51" s="55"/>
      <c r="P51" s="55"/>
      <c r="Q51" s="146"/>
      <c r="R51" s="147"/>
      <c r="S51" s="157" t="n">
        <f aca="false">+S49+S50</f>
        <v>117785466.2</v>
      </c>
      <c r="T51" s="149"/>
      <c r="U51" s="158" t="n">
        <f aca="false">-50000000-33000000-31000000-30000000</f>
        <v>-144000000</v>
      </c>
      <c r="V51" s="158" t="n">
        <f aca="false">SUM(S51:U51)</f>
        <v>-26214533.8</v>
      </c>
      <c r="W51" s="151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50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  <c r="IK51" s="150"/>
      <c r="IL51" s="150"/>
      <c r="IM51" s="150"/>
      <c r="IN51" s="150"/>
      <c r="IO51" s="150"/>
      <c r="IP51" s="150"/>
      <c r="IQ51" s="150"/>
      <c r="IR51" s="150"/>
      <c r="IS51" s="150"/>
      <c r="IT51" s="150"/>
      <c r="IU51" s="150"/>
      <c r="IV51" s="150"/>
      <c r="IW51" s="150"/>
    </row>
    <row r="52" customFormat="false" ht="17.25" hidden="false" customHeight="false" outlineLevel="0" collapsed="false">
      <c r="A52" s="159"/>
      <c r="B52" s="70"/>
      <c r="C52" s="70"/>
      <c r="D52" s="71"/>
      <c r="E52" s="72"/>
      <c r="F52" s="72"/>
      <c r="G52" s="71"/>
      <c r="H52" s="71"/>
      <c r="I52" s="72"/>
      <c r="J52" s="72"/>
      <c r="K52" s="72"/>
      <c r="L52" s="71"/>
      <c r="M52" s="73"/>
      <c r="N52" s="73"/>
      <c r="O52" s="73"/>
      <c r="P52" s="73"/>
      <c r="Q52" s="72"/>
      <c r="R52" s="74"/>
      <c r="S52" s="160"/>
      <c r="T52" s="75"/>
      <c r="U52" s="76"/>
      <c r="V52" s="76"/>
    </row>
    <row r="53" customFormat="false" ht="16.5" hidden="false" customHeight="false" outlineLevel="0" collapsed="false">
      <c r="A53" s="129" t="s">
        <v>72</v>
      </c>
      <c r="B53" s="88" t="s">
        <v>29</v>
      </c>
      <c r="C53" s="79" t="s">
        <v>28</v>
      </c>
      <c r="D53" s="80" t="n">
        <v>0</v>
      </c>
      <c r="E53" s="80" t="n">
        <v>76545752</v>
      </c>
      <c r="F53" s="80" t="n">
        <v>0</v>
      </c>
      <c r="G53" s="80" t="n">
        <v>0</v>
      </c>
      <c r="H53" s="80" t="n">
        <f aca="false">SUM(F53:G53)</f>
        <v>0</v>
      </c>
      <c r="I53" s="80" t="n">
        <v>0</v>
      </c>
      <c r="J53" s="80" t="n">
        <v>0</v>
      </c>
      <c r="K53" s="80" t="n">
        <f aca="false">SUM(I53:J53)</f>
        <v>0</v>
      </c>
      <c r="L53" s="81" t="n">
        <f aca="false">+K53+H53</f>
        <v>0</v>
      </c>
      <c r="M53" s="80" t="n">
        <v>-18574001</v>
      </c>
      <c r="N53" s="82" t="n">
        <v>0</v>
      </c>
      <c r="O53" s="82" t="n">
        <v>0</v>
      </c>
      <c r="P53" s="82" t="n">
        <f aca="false">SUM(N53:O53)</f>
        <v>0</v>
      </c>
      <c r="Q53" s="161" t="n">
        <f aca="false">+L53+E53</f>
        <v>76545752</v>
      </c>
      <c r="R53" s="162" t="n">
        <v>0</v>
      </c>
      <c r="S53" s="140" t="n">
        <f aca="false">+Q53</f>
        <v>76545752</v>
      </c>
      <c r="T53" s="90" t="s">
        <v>73</v>
      </c>
      <c r="U53" s="85"/>
      <c r="V53" s="85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  <c r="IW53" s="86"/>
    </row>
    <row r="54" customFormat="false" ht="16.5" hidden="true" customHeight="false" outlineLevel="0" collapsed="false">
      <c r="A54" s="101"/>
      <c r="B54" s="102"/>
      <c r="C54" s="102"/>
      <c r="D54" s="64"/>
      <c r="E54" s="103"/>
      <c r="F54" s="103"/>
      <c r="G54" s="103"/>
      <c r="H54" s="64"/>
      <c r="I54" s="103"/>
      <c r="J54" s="103"/>
      <c r="K54" s="103"/>
      <c r="L54" s="64"/>
      <c r="M54" s="55"/>
      <c r="N54" s="55"/>
      <c r="O54" s="55"/>
      <c r="P54" s="55"/>
      <c r="Q54" s="103" t="n">
        <f aca="false">SUM(Q53)</f>
        <v>76545752</v>
      </c>
      <c r="R54" s="104" t="n">
        <f aca="false">SUM(R53)</f>
        <v>0</v>
      </c>
      <c r="S54" s="163"/>
      <c r="T54" s="106"/>
      <c r="U54" s="76"/>
      <c r="V54" s="76"/>
    </row>
    <row r="55" customFormat="false" ht="17.25" hidden="true" customHeight="false" outlineLevel="0" collapsed="false">
      <c r="A55" s="164"/>
      <c r="B55" s="163"/>
      <c r="C55" s="163"/>
      <c r="D55" s="165"/>
      <c r="E55" s="104"/>
      <c r="F55" s="104"/>
      <c r="G55" s="104"/>
      <c r="H55" s="165"/>
      <c r="I55" s="104"/>
      <c r="J55" s="104"/>
      <c r="K55" s="104"/>
      <c r="L55" s="165"/>
      <c r="M55" s="166"/>
      <c r="N55" s="166"/>
      <c r="O55" s="166"/>
      <c r="P55" s="166"/>
      <c r="Q55" s="163"/>
      <c r="R55" s="163"/>
      <c r="S55" s="167" t="n">
        <f aca="false">+Q54</f>
        <v>76545752</v>
      </c>
      <c r="T55" s="106"/>
      <c r="U55" s="76" t="s">
        <v>44</v>
      </c>
      <c r="V55" s="76"/>
    </row>
    <row r="56" customFormat="false" ht="17.25" hidden="true" customHeight="false" outlineLevel="0" collapsed="false">
      <c r="A56" s="164"/>
      <c r="B56" s="163"/>
      <c r="C56" s="163"/>
      <c r="D56" s="165"/>
      <c r="E56" s="104"/>
      <c r="F56" s="104"/>
      <c r="G56" s="104"/>
      <c r="H56" s="165"/>
      <c r="I56" s="104"/>
      <c r="J56" s="104"/>
      <c r="K56" s="104"/>
      <c r="L56" s="165"/>
      <c r="M56" s="166"/>
      <c r="N56" s="166"/>
      <c r="O56" s="166"/>
      <c r="P56" s="166"/>
      <c r="Q56" s="163"/>
      <c r="R56" s="163"/>
      <c r="S56" s="168"/>
      <c r="T56" s="106"/>
      <c r="U56" s="76"/>
      <c r="V56" s="76"/>
    </row>
    <row r="57" customFormat="false" ht="18.75" hidden="true" customHeight="true" outlineLevel="0" collapsed="false">
      <c r="A57" s="169" t="s">
        <v>74</v>
      </c>
      <c r="B57" s="170" t="s">
        <v>29</v>
      </c>
      <c r="C57" s="24" t="s">
        <v>28</v>
      </c>
      <c r="D57" s="171" t="n">
        <v>0</v>
      </c>
      <c r="E57" s="171" t="n">
        <v>0</v>
      </c>
      <c r="F57" s="171" t="n">
        <v>0</v>
      </c>
      <c r="G57" s="171" t="n">
        <v>0</v>
      </c>
      <c r="H57" s="25" t="n">
        <f aca="false">SUM(F57:G57)</f>
        <v>0</v>
      </c>
      <c r="I57" s="171" t="n">
        <v>0</v>
      </c>
      <c r="J57" s="171" t="n">
        <v>0</v>
      </c>
      <c r="K57" s="25" t="n">
        <f aca="false">SUM(I57:J57)</f>
        <v>0</v>
      </c>
      <c r="L57" s="25" t="n">
        <f aca="false">+K57+H57</f>
        <v>0</v>
      </c>
      <c r="M57" s="171"/>
      <c r="N57" s="172" t="n">
        <v>0</v>
      </c>
      <c r="O57" s="172" t="n">
        <v>0</v>
      </c>
      <c r="P57" s="27" t="n">
        <f aca="false">SUM(N57:O57)</f>
        <v>0</v>
      </c>
      <c r="Q57" s="171" t="n">
        <f aca="false">+L57</f>
        <v>0</v>
      </c>
      <c r="R57" s="173" t="n">
        <v>0</v>
      </c>
      <c r="S57" s="174"/>
      <c r="T57" s="29" t="s">
        <v>38</v>
      </c>
      <c r="U57" s="30"/>
      <c r="V57" s="30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</row>
    <row r="58" customFormat="false" ht="16.5" hidden="true" customHeight="false" outlineLevel="0" collapsed="false">
      <c r="A58" s="175"/>
      <c r="B58" s="176"/>
      <c r="C58" s="177" t="s">
        <v>28</v>
      </c>
      <c r="D58" s="178"/>
      <c r="E58" s="178"/>
      <c r="F58" s="178"/>
      <c r="G58" s="178"/>
      <c r="H58" s="178"/>
      <c r="I58" s="178"/>
      <c r="J58" s="178"/>
      <c r="K58" s="178"/>
      <c r="L58" s="36"/>
      <c r="M58" s="39"/>
      <c r="N58" s="166"/>
      <c r="O58" s="166"/>
      <c r="P58" s="166"/>
      <c r="Q58" s="39"/>
      <c r="R58" s="178"/>
      <c r="S58" s="176"/>
      <c r="T58" s="179"/>
      <c r="U58" s="30"/>
      <c r="V58" s="30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</row>
    <row r="59" customFormat="false" ht="16.5" hidden="false" customHeight="false" outlineLevel="0" collapsed="false">
      <c r="A59" s="107"/>
      <c r="B59" s="163"/>
      <c r="C59" s="163"/>
      <c r="D59" s="165"/>
      <c r="E59" s="104"/>
      <c r="F59" s="104"/>
      <c r="G59" s="104"/>
      <c r="H59" s="104"/>
      <c r="I59" s="104"/>
      <c r="J59" s="104"/>
      <c r="K59" s="104"/>
      <c r="L59" s="71"/>
      <c r="M59" s="180"/>
      <c r="N59" s="180"/>
      <c r="O59" s="180"/>
      <c r="P59" s="180"/>
      <c r="Q59" s="74"/>
      <c r="R59" s="104"/>
      <c r="S59" s="181"/>
      <c r="T59" s="106"/>
      <c r="U59" s="76"/>
      <c r="V59" s="76"/>
    </row>
    <row r="60" customFormat="false" ht="15" hidden="false" customHeight="false" outlineLevel="0" collapsed="false">
      <c r="A60" s="182"/>
      <c r="B60" s="183"/>
      <c r="C60" s="183"/>
      <c r="D60" s="184"/>
      <c r="E60" s="184"/>
      <c r="F60" s="184"/>
      <c r="G60" s="184"/>
      <c r="H60" s="184"/>
      <c r="I60" s="184"/>
      <c r="J60" s="184"/>
      <c r="K60" s="184"/>
      <c r="L60" s="147"/>
      <c r="M60" s="147"/>
      <c r="N60" s="166"/>
      <c r="O60" s="166"/>
      <c r="P60" s="166"/>
      <c r="Q60" s="147"/>
      <c r="R60" s="184"/>
      <c r="S60" s="147"/>
      <c r="T60" s="185"/>
      <c r="U60" s="151"/>
      <c r="V60" s="151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  <c r="IK60" s="150"/>
      <c r="IL60" s="150"/>
      <c r="IM60" s="150"/>
      <c r="IN60" s="150"/>
      <c r="IO60" s="150"/>
      <c r="IP60" s="150"/>
      <c r="IQ60" s="150"/>
      <c r="IR60" s="150"/>
      <c r="IS60" s="150"/>
      <c r="IT60" s="150"/>
      <c r="IU60" s="150"/>
      <c r="IV60" s="150"/>
      <c r="IW60" s="150"/>
    </row>
    <row r="61" customFormat="false" ht="15.75" hidden="true" customHeight="false" outlineLevel="0" collapsed="false">
      <c r="A61" s="186"/>
      <c r="B61" s="187"/>
      <c r="C61" s="18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66"/>
      <c r="O61" s="166"/>
      <c r="P61" s="166"/>
      <c r="Q61" s="188" t="n">
        <f aca="false">+Q15+Q47+Q54</f>
        <v>662510681.92</v>
      </c>
      <c r="R61" s="188" t="n">
        <f aca="false">+R15+R47+R54</f>
        <v>-207066458.6</v>
      </c>
      <c r="S61" s="147"/>
      <c r="T61" s="149"/>
      <c r="U61" s="150"/>
      <c r="V61" s="151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0"/>
      <c r="GD61" s="150"/>
      <c r="GE61" s="150"/>
      <c r="GF61" s="150"/>
      <c r="GG61" s="150"/>
      <c r="GH61" s="150"/>
      <c r="GI61" s="150"/>
      <c r="GJ61" s="150"/>
      <c r="GK61" s="150"/>
      <c r="GL61" s="150"/>
      <c r="GM61" s="150"/>
      <c r="GN61" s="150"/>
      <c r="GO61" s="150"/>
      <c r="GP61" s="150"/>
      <c r="GQ61" s="150"/>
      <c r="GR61" s="150"/>
      <c r="GS61" s="150"/>
      <c r="GT61" s="150"/>
      <c r="GU61" s="150"/>
      <c r="GV61" s="150"/>
      <c r="GW61" s="150"/>
      <c r="GX61" s="150"/>
      <c r="GY61" s="150"/>
      <c r="GZ61" s="150"/>
      <c r="HA61" s="150"/>
      <c r="HB61" s="150"/>
      <c r="HC61" s="150"/>
      <c r="HD61" s="150"/>
      <c r="HE61" s="150"/>
      <c r="HF61" s="150"/>
      <c r="HG61" s="150"/>
      <c r="HH61" s="150"/>
      <c r="HI61" s="150"/>
      <c r="HJ61" s="150"/>
      <c r="HK61" s="150"/>
      <c r="HL61" s="150"/>
      <c r="HM61" s="150"/>
      <c r="HN61" s="150"/>
      <c r="HO61" s="150"/>
      <c r="HP61" s="150"/>
      <c r="HQ61" s="150"/>
      <c r="HR61" s="150"/>
      <c r="HS61" s="150"/>
      <c r="HT61" s="150"/>
      <c r="HU61" s="150"/>
      <c r="HV61" s="150"/>
      <c r="HW61" s="150"/>
      <c r="HX61" s="150"/>
      <c r="HY61" s="150"/>
      <c r="HZ61" s="150"/>
      <c r="IA61" s="150"/>
      <c r="IB61" s="150"/>
      <c r="IC61" s="150"/>
      <c r="ID61" s="150"/>
      <c r="IE61" s="150"/>
      <c r="IF61" s="150"/>
      <c r="IG61" s="150"/>
      <c r="IH61" s="150"/>
      <c r="II61" s="150"/>
      <c r="IJ61" s="150"/>
      <c r="IK61" s="150"/>
      <c r="IL61" s="150"/>
      <c r="IM61" s="150"/>
      <c r="IN61" s="150"/>
      <c r="IO61" s="150"/>
      <c r="IP61" s="150"/>
      <c r="IQ61" s="150"/>
      <c r="IR61" s="150"/>
      <c r="IS61" s="150"/>
      <c r="IT61" s="150"/>
      <c r="IU61" s="150"/>
      <c r="IV61" s="150"/>
      <c r="IW61" s="150"/>
    </row>
    <row r="62" customFormat="false" ht="15.75" hidden="false" customHeight="false" outlineLevel="0" collapsed="false">
      <c r="A62" s="144" t="s">
        <v>75</v>
      </c>
      <c r="B62" s="187"/>
      <c r="C62" s="18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66"/>
      <c r="O62" s="166"/>
      <c r="P62" s="166"/>
      <c r="Q62" s="187"/>
      <c r="R62" s="187"/>
      <c r="S62" s="148" t="n">
        <f aca="false">+S15+S49+S55</f>
        <v>515133087.12</v>
      </c>
      <c r="T62" s="149" t="s">
        <v>76</v>
      </c>
      <c r="U62" s="151"/>
      <c r="V62" s="151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0"/>
      <c r="GE62" s="150"/>
      <c r="GF62" s="150"/>
      <c r="GG62" s="150"/>
      <c r="GH62" s="150"/>
      <c r="GI62" s="150"/>
      <c r="GJ62" s="150"/>
      <c r="GK62" s="150"/>
      <c r="GL62" s="150"/>
      <c r="GM62" s="150"/>
      <c r="GN62" s="150"/>
      <c r="GO62" s="150"/>
      <c r="GP62" s="150"/>
      <c r="GQ62" s="150"/>
      <c r="GR62" s="150"/>
      <c r="GS62" s="150"/>
      <c r="GT62" s="150"/>
      <c r="GU62" s="150"/>
      <c r="GV62" s="150"/>
      <c r="GW62" s="150"/>
      <c r="GX62" s="150"/>
      <c r="GY62" s="150"/>
      <c r="GZ62" s="150"/>
      <c r="HA62" s="150"/>
      <c r="HB62" s="150"/>
      <c r="HC62" s="150"/>
      <c r="HD62" s="150"/>
      <c r="HE62" s="150"/>
      <c r="HF62" s="150"/>
      <c r="HG62" s="150"/>
      <c r="HH62" s="150"/>
      <c r="HI62" s="150"/>
      <c r="HJ62" s="150"/>
      <c r="HK62" s="150"/>
      <c r="HL62" s="150"/>
      <c r="HM62" s="150"/>
      <c r="HN62" s="150"/>
      <c r="HO62" s="150"/>
      <c r="HP62" s="150"/>
      <c r="HQ62" s="150"/>
      <c r="HR62" s="150"/>
      <c r="HS62" s="150"/>
      <c r="HT62" s="150"/>
      <c r="HU62" s="150"/>
      <c r="HV62" s="150"/>
      <c r="HW62" s="150"/>
      <c r="HX62" s="150"/>
      <c r="HY62" s="150"/>
      <c r="HZ62" s="150"/>
      <c r="IA62" s="150"/>
      <c r="IB62" s="150"/>
      <c r="IC62" s="150"/>
      <c r="ID62" s="150"/>
      <c r="IE62" s="150"/>
      <c r="IF62" s="150"/>
      <c r="IG62" s="150"/>
      <c r="IH62" s="150"/>
      <c r="II62" s="150"/>
      <c r="IJ62" s="150"/>
      <c r="IK62" s="150"/>
      <c r="IL62" s="150"/>
      <c r="IM62" s="150"/>
      <c r="IN62" s="150"/>
      <c r="IO62" s="150"/>
      <c r="IP62" s="150"/>
      <c r="IQ62" s="150"/>
      <c r="IR62" s="150"/>
      <c r="IS62" s="150"/>
      <c r="IT62" s="150"/>
      <c r="IU62" s="150"/>
      <c r="IV62" s="150"/>
      <c r="IW62" s="150"/>
    </row>
    <row r="63" customFormat="false" ht="15.75" hidden="false" customHeight="false" outlineLevel="0" collapsed="false">
      <c r="A63" s="144" t="s">
        <v>68</v>
      </c>
      <c r="B63" s="187"/>
      <c r="C63" s="18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66"/>
      <c r="O63" s="166"/>
      <c r="P63" s="166"/>
      <c r="Q63" s="187"/>
      <c r="R63" s="187"/>
      <c r="S63" s="152" t="n">
        <f aca="false">+S50</f>
        <v>-59688863.8</v>
      </c>
      <c r="T63" s="149"/>
      <c r="U63" s="151"/>
      <c r="V63" s="151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50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  <c r="IK63" s="150"/>
      <c r="IL63" s="150"/>
      <c r="IM63" s="150"/>
      <c r="IN63" s="150"/>
      <c r="IO63" s="150"/>
      <c r="IP63" s="150"/>
      <c r="IQ63" s="150"/>
      <c r="IR63" s="150"/>
      <c r="IS63" s="150"/>
      <c r="IT63" s="150"/>
      <c r="IU63" s="150"/>
      <c r="IV63" s="150"/>
      <c r="IW63" s="150"/>
    </row>
    <row r="64" customFormat="false" ht="15.75" hidden="false" customHeight="false" outlineLevel="0" collapsed="false">
      <c r="A64" s="144" t="s">
        <v>77</v>
      </c>
      <c r="B64" s="187"/>
      <c r="C64" s="18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66"/>
      <c r="O64" s="166"/>
      <c r="P64" s="166"/>
      <c r="Q64" s="187"/>
      <c r="R64" s="187"/>
      <c r="S64" s="148" t="n">
        <f aca="false">+S62+S63</f>
        <v>455444223.32</v>
      </c>
      <c r="T64" s="149"/>
      <c r="U64" s="151"/>
      <c r="V64" s="151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0"/>
      <c r="EI64" s="150"/>
      <c r="EJ64" s="150"/>
      <c r="EK64" s="150"/>
      <c r="EL64" s="150"/>
      <c r="EM64" s="150"/>
      <c r="EN64" s="150"/>
      <c r="EO64" s="150"/>
      <c r="EP64" s="150"/>
      <c r="EQ64" s="150"/>
      <c r="ER64" s="150"/>
      <c r="ES64" s="150"/>
      <c r="ET64" s="150"/>
      <c r="EU64" s="150"/>
      <c r="EV64" s="150"/>
      <c r="EW64" s="150"/>
      <c r="EX64" s="150"/>
      <c r="EY64" s="150"/>
      <c r="EZ64" s="150"/>
      <c r="FA64" s="150"/>
      <c r="FB64" s="150"/>
      <c r="FC64" s="150"/>
      <c r="FD64" s="150"/>
      <c r="FE64" s="150"/>
      <c r="FF64" s="150"/>
      <c r="FG64" s="150"/>
      <c r="FH64" s="150"/>
      <c r="FI64" s="150"/>
      <c r="FJ64" s="150"/>
      <c r="FK64" s="150"/>
      <c r="FL64" s="150"/>
      <c r="FM64" s="150"/>
      <c r="FN64" s="150"/>
      <c r="FO64" s="150"/>
      <c r="FP64" s="150"/>
      <c r="FQ64" s="150"/>
      <c r="FR64" s="150"/>
      <c r="FS64" s="150"/>
      <c r="FT64" s="150"/>
      <c r="FU64" s="150"/>
      <c r="FV64" s="150"/>
      <c r="FW64" s="150"/>
      <c r="FX64" s="150"/>
      <c r="FY64" s="150"/>
      <c r="FZ64" s="150"/>
      <c r="GA64" s="150"/>
      <c r="GB64" s="150"/>
      <c r="GC64" s="150"/>
      <c r="GD64" s="150"/>
      <c r="GE64" s="150"/>
      <c r="GF64" s="150"/>
      <c r="GG64" s="150"/>
      <c r="GH64" s="150"/>
      <c r="GI64" s="150"/>
      <c r="GJ64" s="150"/>
      <c r="GK64" s="150"/>
      <c r="GL64" s="150"/>
      <c r="GM64" s="150"/>
      <c r="GN64" s="150"/>
      <c r="GO64" s="150"/>
      <c r="GP64" s="150"/>
      <c r="GQ64" s="150"/>
      <c r="GR64" s="150"/>
      <c r="GS64" s="150"/>
      <c r="GT64" s="150"/>
      <c r="GU64" s="150"/>
      <c r="GV64" s="150"/>
      <c r="GW64" s="150"/>
      <c r="GX64" s="150"/>
      <c r="GY64" s="150"/>
      <c r="GZ64" s="150"/>
      <c r="HA64" s="150"/>
      <c r="HB64" s="150"/>
      <c r="HC64" s="150"/>
      <c r="HD64" s="150"/>
      <c r="HE64" s="150"/>
      <c r="HF64" s="150"/>
      <c r="HG64" s="150"/>
      <c r="HH64" s="150"/>
      <c r="HI64" s="150"/>
      <c r="HJ64" s="150"/>
      <c r="HK64" s="150"/>
      <c r="HL64" s="150"/>
      <c r="HM64" s="150"/>
      <c r="HN64" s="150"/>
      <c r="HO64" s="150"/>
      <c r="HP64" s="150"/>
      <c r="HQ64" s="150"/>
      <c r="HR64" s="150"/>
      <c r="HS64" s="150"/>
      <c r="HT64" s="150"/>
      <c r="HU64" s="150"/>
      <c r="HV64" s="150"/>
      <c r="HW64" s="150"/>
      <c r="HX64" s="150"/>
      <c r="HY64" s="150"/>
      <c r="HZ64" s="150"/>
      <c r="IA64" s="150"/>
      <c r="IB64" s="150"/>
      <c r="IC64" s="150"/>
      <c r="ID64" s="150"/>
      <c r="IE64" s="150"/>
      <c r="IF64" s="150"/>
      <c r="IG64" s="150"/>
      <c r="IH64" s="150"/>
      <c r="II64" s="150"/>
      <c r="IJ64" s="150"/>
      <c r="IK64" s="150"/>
      <c r="IL64" s="150"/>
      <c r="IM64" s="150"/>
      <c r="IN64" s="150"/>
      <c r="IO64" s="150"/>
      <c r="IP64" s="150"/>
      <c r="IQ64" s="150"/>
      <c r="IR64" s="150"/>
      <c r="IS64" s="150"/>
      <c r="IT64" s="150"/>
      <c r="IU64" s="150"/>
      <c r="IV64" s="150"/>
      <c r="IW64" s="150"/>
    </row>
    <row r="65" customFormat="false" ht="15.75" hidden="false" customHeight="false" outlineLevel="0" collapsed="false">
      <c r="A65" s="144" t="s">
        <v>78</v>
      </c>
      <c r="B65" s="187"/>
      <c r="C65" s="18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66"/>
      <c r="O65" s="166"/>
      <c r="P65" s="166"/>
      <c r="Q65" s="187"/>
      <c r="R65" s="187"/>
      <c r="S65" s="152" t="n">
        <v>-94000000</v>
      </c>
      <c r="T65" s="149"/>
      <c r="U65" s="151"/>
      <c r="V65" s="151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  <c r="DW65" s="150"/>
      <c r="DX65" s="150"/>
      <c r="DY65" s="150"/>
      <c r="DZ65" s="150"/>
      <c r="EA65" s="150"/>
      <c r="EB65" s="150"/>
      <c r="EC65" s="150"/>
      <c r="ED65" s="150"/>
      <c r="EE65" s="150"/>
      <c r="EF65" s="150"/>
      <c r="EG65" s="150"/>
      <c r="EH65" s="150"/>
      <c r="EI65" s="150"/>
      <c r="EJ65" s="150"/>
      <c r="EK65" s="150"/>
      <c r="EL65" s="150"/>
      <c r="EM65" s="150"/>
      <c r="EN65" s="150"/>
      <c r="EO65" s="150"/>
      <c r="EP65" s="150"/>
      <c r="EQ65" s="150"/>
      <c r="ER65" s="150"/>
      <c r="ES65" s="150"/>
      <c r="ET65" s="150"/>
      <c r="EU65" s="150"/>
      <c r="EV65" s="150"/>
      <c r="EW65" s="150"/>
      <c r="EX65" s="150"/>
      <c r="EY65" s="150"/>
      <c r="EZ65" s="150"/>
      <c r="FA65" s="150"/>
      <c r="FB65" s="150"/>
      <c r="FC65" s="150"/>
      <c r="FD65" s="150"/>
      <c r="FE65" s="150"/>
      <c r="FF65" s="150"/>
      <c r="FG65" s="150"/>
      <c r="FH65" s="150"/>
      <c r="FI65" s="150"/>
      <c r="FJ65" s="150"/>
      <c r="FK65" s="150"/>
      <c r="FL65" s="150"/>
      <c r="FM65" s="150"/>
      <c r="FN65" s="150"/>
      <c r="FO65" s="150"/>
      <c r="FP65" s="150"/>
      <c r="FQ65" s="150"/>
      <c r="FR65" s="150"/>
      <c r="FS65" s="150"/>
      <c r="FT65" s="150"/>
      <c r="FU65" s="150"/>
      <c r="FV65" s="150"/>
      <c r="FW65" s="150"/>
      <c r="FX65" s="150"/>
      <c r="FY65" s="150"/>
      <c r="FZ65" s="150"/>
      <c r="GA65" s="150"/>
      <c r="GB65" s="150"/>
      <c r="GC65" s="150"/>
      <c r="GD65" s="150"/>
      <c r="GE65" s="150"/>
      <c r="GF65" s="150"/>
      <c r="GG65" s="150"/>
      <c r="GH65" s="150"/>
      <c r="GI65" s="150"/>
      <c r="GJ65" s="150"/>
      <c r="GK65" s="150"/>
      <c r="GL65" s="150"/>
      <c r="GM65" s="150"/>
      <c r="GN65" s="150"/>
      <c r="GO65" s="150"/>
      <c r="GP65" s="150"/>
      <c r="GQ65" s="150"/>
      <c r="GR65" s="150"/>
      <c r="GS65" s="150"/>
      <c r="GT65" s="150"/>
      <c r="GU65" s="150"/>
      <c r="GV65" s="150"/>
      <c r="GW65" s="150"/>
      <c r="GX65" s="150"/>
      <c r="GY65" s="150"/>
      <c r="GZ65" s="150"/>
      <c r="HA65" s="150"/>
      <c r="HB65" s="150"/>
      <c r="HC65" s="150"/>
      <c r="HD65" s="150"/>
      <c r="HE65" s="150"/>
      <c r="HF65" s="150"/>
      <c r="HG65" s="150"/>
      <c r="HH65" s="150"/>
      <c r="HI65" s="150"/>
      <c r="HJ65" s="150"/>
      <c r="HK65" s="150"/>
      <c r="HL65" s="150"/>
      <c r="HM65" s="150"/>
      <c r="HN65" s="150"/>
      <c r="HO65" s="150"/>
      <c r="HP65" s="150"/>
      <c r="HQ65" s="150"/>
      <c r="HR65" s="150"/>
      <c r="HS65" s="150"/>
      <c r="HT65" s="150"/>
      <c r="HU65" s="150"/>
      <c r="HV65" s="150"/>
      <c r="HW65" s="150"/>
      <c r="HX65" s="150"/>
      <c r="HY65" s="150"/>
      <c r="HZ65" s="150"/>
      <c r="IA65" s="150"/>
      <c r="IB65" s="150"/>
      <c r="IC65" s="150"/>
      <c r="ID65" s="150"/>
      <c r="IE65" s="150"/>
      <c r="IF65" s="150"/>
      <c r="IG65" s="150"/>
      <c r="IH65" s="150"/>
      <c r="II65" s="150"/>
      <c r="IJ65" s="150"/>
      <c r="IK65" s="150"/>
      <c r="IL65" s="150"/>
      <c r="IM65" s="150"/>
      <c r="IN65" s="150"/>
      <c r="IO65" s="150"/>
      <c r="IP65" s="150"/>
      <c r="IQ65" s="150"/>
      <c r="IR65" s="150"/>
      <c r="IS65" s="150"/>
      <c r="IT65" s="150"/>
      <c r="IU65" s="150"/>
      <c r="IV65" s="150"/>
      <c r="IW65" s="150"/>
    </row>
    <row r="66" customFormat="false" ht="16.5" hidden="false" customHeight="false" outlineLevel="0" collapsed="false">
      <c r="A66" s="144" t="s">
        <v>79</v>
      </c>
      <c r="B66" s="187"/>
      <c r="C66" s="18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66"/>
      <c r="O66" s="166"/>
      <c r="P66" s="166"/>
      <c r="Q66" s="187"/>
      <c r="R66" s="187"/>
      <c r="S66" s="157" t="n">
        <f aca="false">+S64+S65</f>
        <v>361444223.32</v>
      </c>
      <c r="T66" s="149"/>
      <c r="U66" s="151"/>
      <c r="V66" s="151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  <c r="DO66" s="150"/>
      <c r="DP66" s="150"/>
      <c r="DQ66" s="150"/>
      <c r="DR66" s="150"/>
      <c r="DS66" s="150"/>
      <c r="DT66" s="150"/>
      <c r="DU66" s="150"/>
      <c r="DV66" s="150"/>
      <c r="DW66" s="150"/>
      <c r="DX66" s="150"/>
      <c r="DY66" s="150"/>
      <c r="DZ66" s="150"/>
      <c r="EA66" s="150"/>
      <c r="EB66" s="150"/>
      <c r="EC66" s="150"/>
      <c r="ED66" s="150"/>
      <c r="EE66" s="150"/>
      <c r="EF66" s="150"/>
      <c r="EG66" s="150"/>
      <c r="EH66" s="150"/>
      <c r="EI66" s="150"/>
      <c r="EJ66" s="150"/>
      <c r="EK66" s="150"/>
      <c r="EL66" s="150"/>
      <c r="EM66" s="150"/>
      <c r="EN66" s="150"/>
      <c r="EO66" s="150"/>
      <c r="EP66" s="150"/>
      <c r="EQ66" s="150"/>
      <c r="ER66" s="150"/>
      <c r="ES66" s="150"/>
      <c r="ET66" s="150"/>
      <c r="EU66" s="150"/>
      <c r="EV66" s="150"/>
      <c r="EW66" s="150"/>
      <c r="EX66" s="150"/>
      <c r="EY66" s="150"/>
      <c r="EZ66" s="150"/>
      <c r="FA66" s="150"/>
      <c r="FB66" s="150"/>
      <c r="FC66" s="150"/>
      <c r="FD66" s="150"/>
      <c r="FE66" s="150"/>
      <c r="FF66" s="150"/>
      <c r="FG66" s="150"/>
      <c r="FH66" s="150"/>
      <c r="FI66" s="150"/>
      <c r="FJ66" s="150"/>
      <c r="FK66" s="150"/>
      <c r="FL66" s="150"/>
      <c r="FM66" s="150"/>
      <c r="FN66" s="150"/>
      <c r="FO66" s="150"/>
      <c r="FP66" s="150"/>
      <c r="FQ66" s="150"/>
      <c r="FR66" s="150"/>
      <c r="FS66" s="150"/>
      <c r="FT66" s="150"/>
      <c r="FU66" s="150"/>
      <c r="FV66" s="150"/>
      <c r="FW66" s="150"/>
      <c r="FX66" s="150"/>
      <c r="FY66" s="150"/>
      <c r="FZ66" s="150"/>
      <c r="GA66" s="150"/>
      <c r="GB66" s="150"/>
      <c r="GC66" s="150"/>
      <c r="GD66" s="150"/>
      <c r="GE66" s="150"/>
      <c r="GF66" s="150"/>
      <c r="GG66" s="150"/>
      <c r="GH66" s="150"/>
      <c r="GI66" s="150"/>
      <c r="GJ66" s="150"/>
      <c r="GK66" s="150"/>
      <c r="GL66" s="150"/>
      <c r="GM66" s="150"/>
      <c r="GN66" s="150"/>
      <c r="GO66" s="150"/>
      <c r="GP66" s="150"/>
      <c r="GQ66" s="150"/>
      <c r="GR66" s="150"/>
      <c r="GS66" s="150"/>
      <c r="GT66" s="150"/>
      <c r="GU66" s="150"/>
      <c r="GV66" s="150"/>
      <c r="GW66" s="150"/>
      <c r="GX66" s="150"/>
      <c r="GY66" s="150"/>
      <c r="GZ66" s="150"/>
      <c r="HA66" s="150"/>
      <c r="HB66" s="150"/>
      <c r="HC66" s="150"/>
      <c r="HD66" s="150"/>
      <c r="HE66" s="150"/>
      <c r="HF66" s="150"/>
      <c r="HG66" s="150"/>
      <c r="HH66" s="150"/>
      <c r="HI66" s="150"/>
      <c r="HJ66" s="150"/>
      <c r="HK66" s="150"/>
      <c r="HL66" s="150"/>
      <c r="HM66" s="150"/>
      <c r="HN66" s="150"/>
      <c r="HO66" s="150"/>
      <c r="HP66" s="150"/>
      <c r="HQ66" s="150"/>
      <c r="HR66" s="150"/>
      <c r="HS66" s="150"/>
      <c r="HT66" s="150"/>
      <c r="HU66" s="150"/>
      <c r="HV66" s="150"/>
      <c r="HW66" s="150"/>
      <c r="HX66" s="150"/>
      <c r="HY66" s="150"/>
      <c r="HZ66" s="150"/>
      <c r="IA66" s="150"/>
      <c r="IB66" s="150"/>
      <c r="IC66" s="150"/>
      <c r="ID66" s="150"/>
      <c r="IE66" s="150"/>
      <c r="IF66" s="150"/>
      <c r="IG66" s="150"/>
      <c r="IH66" s="150"/>
      <c r="II66" s="150"/>
      <c r="IJ66" s="150"/>
      <c r="IK66" s="150"/>
      <c r="IL66" s="150"/>
      <c r="IM66" s="150"/>
      <c r="IN66" s="150"/>
      <c r="IO66" s="150"/>
      <c r="IP66" s="150"/>
      <c r="IQ66" s="150"/>
      <c r="IR66" s="150"/>
      <c r="IS66" s="150"/>
      <c r="IT66" s="150"/>
      <c r="IU66" s="150"/>
      <c r="IV66" s="150"/>
      <c r="IW66" s="150"/>
    </row>
    <row r="67" customFormat="false" ht="16.5" hidden="false" customHeight="false" outlineLevel="0" collapsed="false">
      <c r="A67" s="189"/>
      <c r="B67" s="190"/>
      <c r="C67" s="190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80"/>
      <c r="O67" s="180"/>
      <c r="P67" s="180"/>
      <c r="Q67" s="191"/>
      <c r="R67" s="191"/>
      <c r="S67" s="191"/>
      <c r="T67" s="192"/>
      <c r="U67" s="151"/>
      <c r="V67" s="151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  <c r="DO67" s="150"/>
      <c r="DP67" s="150"/>
      <c r="DQ67" s="150"/>
      <c r="DR67" s="150"/>
      <c r="DS67" s="150"/>
      <c r="DT67" s="150"/>
      <c r="DU67" s="150"/>
      <c r="DV67" s="150"/>
      <c r="DW67" s="150"/>
      <c r="DX67" s="150"/>
      <c r="DY67" s="150"/>
      <c r="DZ67" s="150"/>
      <c r="EA67" s="150"/>
      <c r="EB67" s="150"/>
      <c r="EC67" s="150"/>
      <c r="ED67" s="150"/>
      <c r="EE67" s="150"/>
      <c r="EF67" s="150"/>
      <c r="EG67" s="150"/>
      <c r="EH67" s="150"/>
      <c r="EI67" s="150"/>
      <c r="EJ67" s="150"/>
      <c r="EK67" s="150"/>
      <c r="EL67" s="150"/>
      <c r="EM67" s="150"/>
      <c r="EN67" s="150"/>
      <c r="EO67" s="150"/>
      <c r="EP67" s="150"/>
      <c r="EQ67" s="150"/>
      <c r="ER67" s="150"/>
      <c r="ES67" s="150"/>
      <c r="ET67" s="150"/>
      <c r="EU67" s="150"/>
      <c r="EV67" s="150"/>
      <c r="EW67" s="150"/>
      <c r="EX67" s="150"/>
      <c r="EY67" s="150"/>
      <c r="EZ67" s="150"/>
      <c r="FA67" s="150"/>
      <c r="FB67" s="150"/>
      <c r="FC67" s="150"/>
      <c r="FD67" s="150"/>
      <c r="FE67" s="150"/>
      <c r="FF67" s="150"/>
      <c r="FG67" s="150"/>
      <c r="FH67" s="150"/>
      <c r="FI67" s="150"/>
      <c r="FJ67" s="150"/>
      <c r="FK67" s="150"/>
      <c r="FL67" s="150"/>
      <c r="FM67" s="150"/>
      <c r="FN67" s="150"/>
      <c r="FO67" s="150"/>
      <c r="FP67" s="150"/>
      <c r="FQ67" s="150"/>
      <c r="FR67" s="150"/>
      <c r="FS67" s="150"/>
      <c r="FT67" s="150"/>
      <c r="FU67" s="150"/>
      <c r="FV67" s="150"/>
      <c r="FW67" s="150"/>
      <c r="FX67" s="150"/>
      <c r="FY67" s="150"/>
      <c r="FZ67" s="150"/>
      <c r="GA67" s="150"/>
      <c r="GB67" s="150"/>
      <c r="GC67" s="150"/>
      <c r="GD67" s="150"/>
      <c r="GE67" s="150"/>
      <c r="GF67" s="150"/>
      <c r="GG67" s="150"/>
      <c r="GH67" s="150"/>
      <c r="GI67" s="150"/>
      <c r="GJ67" s="150"/>
      <c r="GK67" s="150"/>
      <c r="GL67" s="150"/>
      <c r="GM67" s="150"/>
      <c r="GN67" s="150"/>
      <c r="GO67" s="150"/>
      <c r="GP67" s="150"/>
      <c r="GQ67" s="150"/>
      <c r="GR67" s="150"/>
      <c r="GS67" s="150"/>
      <c r="GT67" s="150"/>
      <c r="GU67" s="150"/>
      <c r="GV67" s="150"/>
      <c r="GW67" s="150"/>
      <c r="GX67" s="150"/>
      <c r="GY67" s="150"/>
      <c r="GZ67" s="150"/>
      <c r="HA67" s="150"/>
      <c r="HB67" s="150"/>
      <c r="HC67" s="150"/>
      <c r="HD67" s="150"/>
      <c r="HE67" s="150"/>
      <c r="HF67" s="150"/>
      <c r="HG67" s="150"/>
      <c r="HH67" s="150"/>
      <c r="HI67" s="150"/>
      <c r="HJ67" s="150"/>
      <c r="HK67" s="150"/>
      <c r="HL67" s="150"/>
      <c r="HM67" s="150"/>
      <c r="HN67" s="150"/>
      <c r="HO67" s="150"/>
      <c r="HP67" s="150"/>
      <c r="HQ67" s="150"/>
      <c r="HR67" s="150"/>
      <c r="HS67" s="150"/>
      <c r="HT67" s="150"/>
      <c r="HU67" s="150"/>
      <c r="HV67" s="150"/>
      <c r="HW67" s="150"/>
      <c r="HX67" s="150"/>
      <c r="HY67" s="150"/>
      <c r="HZ67" s="150"/>
      <c r="IA67" s="150"/>
      <c r="IB67" s="150"/>
      <c r="IC67" s="150"/>
      <c r="ID67" s="150"/>
      <c r="IE67" s="150"/>
      <c r="IF67" s="150"/>
      <c r="IG67" s="150"/>
      <c r="IH67" s="150"/>
      <c r="II67" s="150"/>
      <c r="IJ67" s="150"/>
      <c r="IK67" s="150"/>
      <c r="IL67" s="150"/>
      <c r="IM67" s="150"/>
      <c r="IN67" s="150"/>
      <c r="IO67" s="150"/>
      <c r="IP67" s="150"/>
      <c r="IQ67" s="150"/>
      <c r="IR67" s="150"/>
      <c r="IS67" s="150"/>
      <c r="IT67" s="150"/>
      <c r="IU67" s="150"/>
      <c r="IV67" s="150"/>
      <c r="IW67" s="150"/>
    </row>
    <row r="68" customFormat="false" ht="15.75" hidden="false" customHeight="false" outlineLevel="0" collapsed="false">
      <c r="D68" s="68"/>
      <c r="E68" s="76"/>
      <c r="F68" s="76"/>
      <c r="G68" s="76"/>
      <c r="H68" s="76"/>
      <c r="I68" s="76"/>
      <c r="J68" s="76"/>
      <c r="K68" s="76"/>
      <c r="L68" s="119"/>
      <c r="M68" s="193"/>
      <c r="N68" s="193"/>
      <c r="O68" s="193"/>
      <c r="P68" s="193"/>
      <c r="Q68" s="76"/>
      <c r="R68" s="76"/>
      <c r="S68" s="76"/>
      <c r="T68" s="76"/>
      <c r="U68" s="76"/>
      <c r="V68" s="76"/>
    </row>
    <row r="69" customFormat="false" ht="15" hidden="false" customHeight="false" outlineLevel="0" collapsed="false">
      <c r="A69" s="2"/>
      <c r="B69" s="2"/>
      <c r="C69" s="2"/>
      <c r="D69" s="68"/>
      <c r="E69" s="76"/>
      <c r="F69" s="76"/>
      <c r="G69" s="76"/>
      <c r="H69" s="76"/>
      <c r="I69" s="76"/>
      <c r="J69" s="76"/>
      <c r="K69" s="76"/>
      <c r="L69" s="76"/>
      <c r="M69" s="193"/>
      <c r="N69" s="193"/>
      <c r="O69" s="193"/>
      <c r="P69" s="193"/>
      <c r="Q69" s="76"/>
      <c r="R69" s="76"/>
      <c r="S69" s="76"/>
      <c r="T69" s="76"/>
      <c r="U69" s="76"/>
      <c r="V69" s="76"/>
    </row>
    <row r="70" customFormat="false" ht="15" hidden="false" customHeight="false" outlineLevel="0" collapsed="false">
      <c r="A70" s="2"/>
      <c r="B70" s="2"/>
      <c r="C70" s="2"/>
      <c r="D70" s="68"/>
      <c r="E70" s="76"/>
      <c r="F70" s="76"/>
      <c r="G70" s="76"/>
      <c r="H70" s="76"/>
      <c r="I70" s="76"/>
      <c r="J70" s="76"/>
      <c r="K70" s="76"/>
      <c r="L70" s="76"/>
      <c r="M70" s="193"/>
      <c r="N70" s="193"/>
      <c r="O70" s="193"/>
      <c r="P70" s="193"/>
      <c r="Q70" s="76"/>
      <c r="R70" s="76"/>
      <c r="S70" s="76"/>
      <c r="T70" s="76"/>
      <c r="U70" s="76"/>
      <c r="V70" s="76"/>
    </row>
    <row r="71" customFormat="false" ht="15" hidden="false" customHeight="false" outlineLevel="0" collapsed="false">
      <c r="A71" s="2"/>
      <c r="B71" s="2"/>
      <c r="C71" s="2"/>
      <c r="D71" s="68"/>
      <c r="E71" s="76"/>
      <c r="F71" s="76"/>
      <c r="G71" s="76"/>
      <c r="H71" s="76"/>
      <c r="I71" s="76"/>
      <c r="J71" s="76"/>
      <c r="K71" s="76"/>
      <c r="L71" s="76"/>
      <c r="M71" s="193"/>
      <c r="N71" s="193"/>
      <c r="O71" s="193"/>
      <c r="P71" s="193"/>
      <c r="Q71" s="76"/>
      <c r="R71" s="76"/>
      <c r="S71" s="76"/>
      <c r="T71" s="76"/>
      <c r="U71" s="76"/>
      <c r="V71" s="76"/>
    </row>
    <row r="72" customFormat="false" ht="15" hidden="false" customHeight="false" outlineLevel="0" collapsed="false">
      <c r="A72" s="2"/>
      <c r="B72" s="2"/>
      <c r="C72" s="2"/>
      <c r="D72" s="68"/>
      <c r="E72" s="76"/>
      <c r="F72" s="76"/>
      <c r="G72" s="76"/>
      <c r="H72" s="76"/>
      <c r="I72" s="76"/>
      <c r="J72" s="76"/>
      <c r="K72" s="76"/>
      <c r="L72" s="76"/>
      <c r="M72" s="193"/>
      <c r="N72" s="193"/>
      <c r="O72" s="193"/>
      <c r="P72" s="193"/>
      <c r="Q72" s="76"/>
      <c r="R72" s="76"/>
      <c r="S72" s="76"/>
      <c r="T72" s="76"/>
      <c r="U72" s="76"/>
      <c r="V72" s="76"/>
    </row>
    <row r="73" customFormat="false" ht="18" hidden="false" customHeight="false" outlineLevel="0" collapsed="false">
      <c r="A73" s="194"/>
      <c r="B73" s="2"/>
      <c r="C73" s="2"/>
      <c r="D73" s="68"/>
      <c r="E73" s="68"/>
      <c r="F73" s="68"/>
      <c r="G73" s="68"/>
      <c r="H73" s="68"/>
      <c r="I73" s="68"/>
      <c r="J73" s="68"/>
      <c r="K73" s="68"/>
      <c r="L73" s="68"/>
      <c r="M73" s="193"/>
      <c r="N73" s="193"/>
      <c r="O73" s="193"/>
      <c r="P73" s="193"/>
      <c r="Q73" s="68"/>
      <c r="R73" s="68"/>
      <c r="S73" s="68"/>
      <c r="T73" s="68"/>
      <c r="U73" s="68"/>
      <c r="V73" s="68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5.75" hidden="false" customHeight="false" outlineLevel="0" collapsed="false">
      <c r="D74" s="68"/>
      <c r="E74" s="68"/>
      <c r="F74" s="76"/>
      <c r="G74" s="76"/>
      <c r="H74" s="76"/>
      <c r="I74" s="68"/>
      <c r="J74" s="68"/>
      <c r="K74" s="76"/>
      <c r="L74" s="195" t="s">
        <v>80</v>
      </c>
      <c r="M74" s="193"/>
      <c r="N74" s="193"/>
      <c r="O74" s="193"/>
      <c r="P74" s="193"/>
      <c r="Q74" s="196" t="n">
        <f aca="false">+Q61-Q31-Q12-Q11-Q45-Q14</f>
        <v>337062880</v>
      </c>
      <c r="R74" s="196" t="n">
        <f aca="false">+R61-R31-R12-R11-R45-R14</f>
        <v>-205770812.6</v>
      </c>
      <c r="S74" s="76"/>
      <c r="T74" s="76"/>
      <c r="U74" s="76"/>
      <c r="V74" s="76"/>
    </row>
    <row r="75" customFormat="false" ht="15" hidden="false" customHeight="false" outlineLevel="0" collapsed="false">
      <c r="D75" s="68"/>
      <c r="E75" s="76"/>
      <c r="F75" s="76"/>
      <c r="G75" s="76"/>
      <c r="H75" s="76"/>
      <c r="I75" s="68"/>
      <c r="J75" s="68"/>
      <c r="K75" s="76"/>
      <c r="L75" s="76"/>
      <c r="M75" s="193"/>
      <c r="N75" s="193"/>
      <c r="O75" s="193"/>
      <c r="P75" s="193"/>
      <c r="Q75" s="196"/>
      <c r="R75" s="196"/>
      <c r="S75" s="76"/>
      <c r="T75" s="76"/>
      <c r="U75" s="76"/>
      <c r="V75" s="76"/>
    </row>
    <row r="76" customFormat="false" ht="15" hidden="false" customHeight="false" outlineLevel="0" collapsed="false">
      <c r="D76" s="68"/>
      <c r="E76" s="76"/>
      <c r="F76" s="76"/>
      <c r="G76" s="76"/>
      <c r="H76" s="76"/>
      <c r="I76" s="68"/>
      <c r="J76" s="68"/>
      <c r="K76" s="76"/>
      <c r="L76" s="76"/>
      <c r="M76" s="193"/>
      <c r="N76" s="193"/>
      <c r="O76" s="193"/>
      <c r="P76" s="193"/>
      <c r="Q76" s="76"/>
      <c r="R76" s="76"/>
      <c r="S76" s="76"/>
      <c r="T76" s="76"/>
      <c r="U76" s="76"/>
      <c r="V76" s="76"/>
    </row>
    <row r="77" customFormat="false" ht="15" hidden="false" customHeight="false" outlineLevel="0" collapsed="false">
      <c r="D77" s="68"/>
      <c r="E77" s="76"/>
      <c r="F77" s="76"/>
      <c r="G77" s="76"/>
      <c r="H77" s="76"/>
      <c r="I77" s="68"/>
      <c r="J77" s="68"/>
      <c r="K77" s="76"/>
      <c r="L77" s="76"/>
      <c r="M77" s="193"/>
      <c r="N77" s="193"/>
      <c r="O77" s="193"/>
      <c r="P77" s="193"/>
      <c r="Q77" s="76"/>
      <c r="R77" s="76"/>
      <c r="S77" s="76"/>
      <c r="T77" s="76"/>
      <c r="U77" s="76"/>
      <c r="V77" s="76"/>
    </row>
    <row r="78" customFormat="false" ht="15" hidden="false" customHeight="false" outlineLevel="0" collapsed="false">
      <c r="D78" s="68"/>
      <c r="E78" s="76"/>
      <c r="F78" s="76"/>
      <c r="G78" s="76"/>
      <c r="H78" s="76"/>
      <c r="I78" s="68"/>
      <c r="J78" s="68"/>
      <c r="K78" s="76"/>
      <c r="L78" s="76"/>
      <c r="M78" s="193"/>
      <c r="N78" s="193"/>
      <c r="O78" s="193"/>
      <c r="P78" s="193"/>
      <c r="Q78" s="76"/>
      <c r="R78" s="76"/>
      <c r="S78" s="76"/>
      <c r="T78" s="76"/>
      <c r="U78" s="76"/>
      <c r="V78" s="76"/>
    </row>
    <row r="79" customFormat="false" ht="15" hidden="false" customHeight="false" outlineLevel="0" collapsed="false">
      <c r="D79" s="68"/>
      <c r="E79" s="76"/>
      <c r="F79" s="76"/>
      <c r="G79" s="76"/>
      <c r="H79" s="76"/>
      <c r="I79" s="68"/>
      <c r="J79" s="68"/>
      <c r="K79" s="76"/>
      <c r="L79" s="76"/>
      <c r="M79" s="193"/>
      <c r="N79" s="193"/>
      <c r="O79" s="193"/>
      <c r="P79" s="193"/>
      <c r="Q79" s="76"/>
      <c r="R79" s="76"/>
      <c r="S79" s="76"/>
      <c r="T79" s="76"/>
      <c r="U79" s="76"/>
      <c r="V79" s="76"/>
    </row>
    <row r="80" customFormat="false" ht="15.75" hidden="false" customHeight="false" outlineLevel="0" collapsed="false">
      <c r="B80" s="195" t="s">
        <v>80</v>
      </c>
      <c r="D80" s="196"/>
      <c r="E80" s="196"/>
      <c r="F80" s="104"/>
      <c r="G80" s="76"/>
      <c r="H80" s="76"/>
      <c r="I80" s="68"/>
      <c r="J80" s="68"/>
      <c r="K80" s="76"/>
      <c r="L80" s="76"/>
      <c r="M80" s="193"/>
      <c r="N80" s="193"/>
      <c r="O80" s="193"/>
      <c r="P80" s="193"/>
      <c r="Q80" s="76"/>
      <c r="R80" s="76"/>
      <c r="S80" s="76"/>
      <c r="T80" s="76"/>
      <c r="U80" s="76"/>
      <c r="V80" s="76"/>
    </row>
    <row r="81" customFormat="false" ht="15.75" hidden="false" customHeight="false" outlineLevel="0" collapsed="false">
      <c r="B81" s="197" t="s">
        <v>81</v>
      </c>
      <c r="D81" s="196" t="n">
        <f aca="false">SUM(D8:D53)-D45-D31-D27-D13-D12-D11-D14</f>
        <v>92162766</v>
      </c>
      <c r="E81" s="196" t="n">
        <f aca="false">SUM(E8:E53)-E45-E31-E27-E13-E12-E11-E14-E24</f>
        <v>-70832322</v>
      </c>
      <c r="F81" s="76"/>
      <c r="G81" s="76"/>
      <c r="H81" s="76"/>
      <c r="I81" s="68"/>
      <c r="J81" s="68"/>
      <c r="K81" s="76"/>
      <c r="L81" s="76"/>
      <c r="M81" s="193"/>
      <c r="N81" s="193"/>
      <c r="O81" s="193"/>
      <c r="P81" s="193"/>
      <c r="Q81" s="76"/>
      <c r="R81" s="76"/>
      <c r="S81" s="76"/>
      <c r="T81" s="76"/>
      <c r="U81" s="76"/>
      <c r="V81" s="76"/>
    </row>
    <row r="82" customFormat="false" ht="15" hidden="false" customHeight="false" outlineLevel="0" collapsed="false">
      <c r="D82" s="68"/>
      <c r="E82" s="76"/>
      <c r="F82" s="76"/>
      <c r="G82" s="76"/>
      <c r="H82" s="76"/>
      <c r="I82" s="68"/>
      <c r="J82" s="68"/>
      <c r="K82" s="76"/>
      <c r="L82" s="76"/>
      <c r="M82" s="193"/>
      <c r="N82" s="193"/>
      <c r="O82" s="193"/>
      <c r="P82" s="193"/>
      <c r="Q82" s="76"/>
      <c r="R82" s="76"/>
      <c r="S82" s="76"/>
      <c r="T82" s="76"/>
      <c r="U82" s="76"/>
      <c r="V82" s="76"/>
    </row>
    <row r="83" customFormat="false" ht="15" hidden="false" customHeight="false" outlineLevel="0" collapsed="false">
      <c r="D83" s="68"/>
      <c r="E83" s="76"/>
      <c r="F83" s="76"/>
      <c r="G83" s="76"/>
      <c r="H83" s="76"/>
      <c r="I83" s="68"/>
      <c r="J83" s="68"/>
      <c r="K83" s="76"/>
      <c r="L83" s="76"/>
      <c r="M83" s="193"/>
      <c r="N83" s="193"/>
      <c r="O83" s="193"/>
      <c r="P83" s="193"/>
      <c r="Q83" s="76"/>
      <c r="R83" s="76"/>
      <c r="S83" s="76"/>
      <c r="T83" s="76"/>
      <c r="U83" s="76"/>
      <c r="V83" s="76"/>
    </row>
    <row r="84" customFormat="false" ht="15" hidden="false" customHeight="false" outlineLevel="0" collapsed="false">
      <c r="D84" s="68"/>
      <c r="E84" s="76"/>
      <c r="F84" s="76"/>
      <c r="G84" s="76"/>
      <c r="H84" s="76"/>
      <c r="I84" s="68"/>
      <c r="J84" s="68"/>
      <c r="K84" s="76"/>
      <c r="L84" s="76"/>
      <c r="M84" s="193"/>
      <c r="N84" s="193"/>
      <c r="O84" s="193"/>
      <c r="P84" s="193"/>
      <c r="Q84" s="76"/>
      <c r="R84" s="76"/>
      <c r="S84" s="76"/>
      <c r="T84" s="76"/>
      <c r="U84" s="76"/>
      <c r="V84" s="76"/>
    </row>
    <row r="85" customFormat="false" ht="15" hidden="false" customHeight="false" outlineLevel="0" collapsed="false">
      <c r="D85" s="68"/>
      <c r="E85" s="76"/>
      <c r="F85" s="76"/>
      <c r="G85" s="76"/>
      <c r="H85" s="76"/>
      <c r="I85" s="68"/>
      <c r="J85" s="68"/>
      <c r="K85" s="76"/>
      <c r="L85" s="76"/>
      <c r="M85" s="193"/>
      <c r="N85" s="193"/>
      <c r="O85" s="193"/>
      <c r="P85" s="193"/>
      <c r="Q85" s="76"/>
      <c r="R85" s="76"/>
      <c r="S85" s="76"/>
      <c r="T85" s="76"/>
      <c r="U85" s="76"/>
      <c r="V85" s="76"/>
    </row>
    <row r="86" customFormat="false" ht="15" hidden="false" customHeight="false" outlineLevel="0" collapsed="false">
      <c r="D86" s="68"/>
      <c r="E86" s="76"/>
      <c r="F86" s="76"/>
      <c r="G86" s="76"/>
      <c r="H86" s="76"/>
      <c r="I86" s="68"/>
      <c r="J86" s="68"/>
      <c r="K86" s="76"/>
      <c r="L86" s="76"/>
      <c r="M86" s="193"/>
      <c r="N86" s="193"/>
      <c r="O86" s="193"/>
      <c r="P86" s="193"/>
      <c r="Q86" s="76"/>
      <c r="R86" s="76"/>
      <c r="S86" s="76"/>
      <c r="T86" s="76"/>
      <c r="U86" s="76"/>
      <c r="V86" s="76"/>
    </row>
    <row r="87" customFormat="false" ht="15" hidden="false" customHeight="false" outlineLevel="0" collapsed="false">
      <c r="D87" s="68"/>
      <c r="E87" s="76"/>
      <c r="F87" s="76"/>
      <c r="G87" s="76"/>
      <c r="H87" s="76"/>
      <c r="I87" s="68"/>
      <c r="J87" s="68"/>
      <c r="K87" s="76"/>
      <c r="L87" s="76"/>
      <c r="M87" s="193"/>
      <c r="N87" s="193"/>
      <c r="O87" s="193"/>
      <c r="P87" s="193"/>
      <c r="Q87" s="76"/>
      <c r="R87" s="76"/>
      <c r="S87" s="76"/>
      <c r="T87" s="76"/>
      <c r="U87" s="76"/>
      <c r="V87" s="76"/>
    </row>
    <row r="88" customFormat="false" ht="15" hidden="false" customHeight="false" outlineLevel="0" collapsed="false">
      <c r="D88" s="68"/>
      <c r="E88" s="76"/>
      <c r="F88" s="76"/>
      <c r="G88" s="76"/>
      <c r="H88" s="76"/>
      <c r="I88" s="68"/>
      <c r="J88" s="68"/>
      <c r="K88" s="76"/>
      <c r="L88" s="76"/>
      <c r="M88" s="193"/>
      <c r="N88" s="193"/>
      <c r="O88" s="193"/>
      <c r="P88" s="193"/>
      <c r="Q88" s="76"/>
      <c r="R88" s="76"/>
      <c r="S88" s="76"/>
      <c r="T88" s="76"/>
      <c r="U88" s="76"/>
      <c r="V88" s="76"/>
    </row>
    <row r="89" customFormat="false" ht="15" hidden="false" customHeight="false" outlineLevel="0" collapsed="false">
      <c r="D89" s="68"/>
      <c r="E89" s="76"/>
      <c r="F89" s="76"/>
      <c r="G89" s="76"/>
      <c r="H89" s="76"/>
      <c r="I89" s="68"/>
      <c r="J89" s="68"/>
      <c r="K89" s="76"/>
      <c r="L89" s="76"/>
      <c r="M89" s="193"/>
      <c r="N89" s="193"/>
      <c r="O89" s="193"/>
      <c r="P89" s="193"/>
      <c r="Q89" s="76"/>
      <c r="R89" s="76"/>
      <c r="S89" s="76"/>
      <c r="T89" s="76"/>
      <c r="U89" s="76"/>
      <c r="V89" s="76"/>
    </row>
    <row r="90" customFormat="false" ht="15" hidden="false" customHeight="false" outlineLevel="0" collapsed="false">
      <c r="D90" s="68"/>
      <c r="E90" s="76"/>
      <c r="F90" s="76"/>
      <c r="G90" s="76"/>
      <c r="H90" s="76"/>
      <c r="I90" s="68"/>
      <c r="J90" s="68"/>
      <c r="K90" s="76"/>
      <c r="L90" s="76"/>
      <c r="M90" s="193"/>
      <c r="N90" s="193"/>
      <c r="O90" s="193"/>
      <c r="P90" s="193"/>
      <c r="Q90" s="76"/>
      <c r="R90" s="76"/>
      <c r="S90" s="76"/>
      <c r="T90" s="76"/>
      <c r="U90" s="76"/>
      <c r="V90" s="76"/>
    </row>
    <row r="91" customFormat="false" ht="15" hidden="false" customHeight="false" outlineLevel="0" collapsed="false">
      <c r="D91" s="68"/>
      <c r="E91" s="76"/>
      <c r="F91" s="76"/>
      <c r="G91" s="76"/>
      <c r="H91" s="76"/>
      <c r="I91" s="68"/>
      <c r="J91" s="68"/>
      <c r="K91" s="76"/>
      <c r="L91" s="76"/>
      <c r="M91" s="193"/>
      <c r="N91" s="193"/>
      <c r="O91" s="193"/>
      <c r="P91" s="193"/>
      <c r="Q91" s="76"/>
      <c r="R91" s="76"/>
      <c r="S91" s="76"/>
      <c r="T91" s="76"/>
      <c r="U91" s="76"/>
      <c r="V91" s="76"/>
    </row>
    <row r="92" customFormat="false" ht="15" hidden="false" customHeight="false" outlineLevel="0" collapsed="false">
      <c r="D92" s="68"/>
      <c r="E92" s="76"/>
      <c r="F92" s="76"/>
      <c r="G92" s="76"/>
      <c r="H92" s="76"/>
      <c r="I92" s="68"/>
      <c r="J92" s="68"/>
      <c r="K92" s="76"/>
      <c r="L92" s="76"/>
      <c r="M92" s="193"/>
      <c r="N92" s="193"/>
      <c r="O92" s="193"/>
      <c r="P92" s="193"/>
      <c r="Q92" s="76"/>
      <c r="R92" s="76"/>
      <c r="S92" s="76"/>
      <c r="T92" s="76"/>
      <c r="U92" s="76"/>
      <c r="V92" s="76"/>
    </row>
    <row r="93" customFormat="false" ht="15" hidden="false" customHeight="false" outlineLevel="0" collapsed="false">
      <c r="I93" s="68"/>
      <c r="J93" s="68"/>
    </row>
    <row r="94" customFormat="false" ht="15" hidden="false" customHeight="false" outlineLevel="0" collapsed="false">
      <c r="I94" s="68"/>
      <c r="J94" s="68"/>
    </row>
    <row r="95" customFormat="false" ht="15" hidden="false" customHeight="false" outlineLevel="0" collapsed="false">
      <c r="I95" s="68"/>
      <c r="J95" s="68"/>
    </row>
    <row r="96" customFormat="false" ht="15" hidden="false" customHeight="false" outlineLevel="0" collapsed="false">
      <c r="I96" s="68"/>
      <c r="J96" s="68"/>
    </row>
    <row r="97" customFormat="false" ht="15" hidden="false" customHeight="false" outlineLevel="0" collapsed="false">
      <c r="I97" s="68"/>
      <c r="J97" s="68"/>
    </row>
    <row r="98" customFormat="false" ht="15" hidden="false" customHeight="false" outlineLevel="0" collapsed="false">
      <c r="I98" s="68"/>
      <c r="J98" s="68"/>
    </row>
    <row r="99" customFormat="false" ht="15" hidden="false" customHeight="false" outlineLevel="0" collapsed="false">
      <c r="I99" s="68"/>
      <c r="J99" s="68"/>
    </row>
    <row r="100" customFormat="false" ht="15" hidden="false" customHeight="false" outlineLevel="0" collapsed="false">
      <c r="I100" s="68"/>
      <c r="J100" s="68"/>
    </row>
    <row r="101" customFormat="false" ht="15" hidden="false" customHeight="false" outlineLevel="0" collapsed="false">
      <c r="I101" s="68"/>
      <c r="J101" s="68"/>
    </row>
    <row r="102" customFormat="false" ht="15" hidden="false" customHeight="false" outlineLevel="0" collapsed="false">
      <c r="I102" s="68"/>
      <c r="J102" s="68"/>
    </row>
    <row r="103" customFormat="false" ht="15" hidden="false" customHeight="false" outlineLevel="0" collapsed="false">
      <c r="I103" s="68"/>
      <c r="J103" s="68"/>
    </row>
    <row r="104" customFormat="false" ht="15" hidden="false" customHeight="false" outlineLevel="0" collapsed="false">
      <c r="I104" s="68"/>
      <c r="J104" s="68"/>
    </row>
    <row r="105" customFormat="false" ht="15" hidden="false" customHeight="false" outlineLevel="0" collapsed="false">
      <c r="I105" s="68"/>
      <c r="J105" s="68"/>
    </row>
    <row r="106" customFormat="false" ht="15" hidden="false" customHeight="false" outlineLevel="0" collapsed="false">
      <c r="I106" s="68"/>
      <c r="J106" s="68"/>
    </row>
    <row r="107" customFormat="false" ht="15" hidden="false" customHeight="false" outlineLevel="0" collapsed="false">
      <c r="I107" s="68"/>
      <c r="J107" s="68"/>
    </row>
    <row r="108" customFormat="false" ht="15" hidden="false" customHeight="false" outlineLevel="0" collapsed="false">
      <c r="I108" s="68"/>
      <c r="J108" s="68"/>
    </row>
    <row r="109" customFormat="false" ht="15" hidden="false" customHeight="false" outlineLevel="0" collapsed="false">
      <c r="I109" s="68"/>
      <c r="J109" s="68"/>
    </row>
    <row r="110" customFormat="false" ht="15" hidden="false" customHeight="false" outlineLevel="0" collapsed="false">
      <c r="I110" s="68"/>
      <c r="J110" s="68"/>
    </row>
    <row r="111" customFormat="false" ht="15" hidden="false" customHeight="false" outlineLevel="0" collapsed="false">
      <c r="I111" s="68"/>
      <c r="J111" s="68"/>
    </row>
    <row r="112" customFormat="false" ht="15" hidden="false" customHeight="false" outlineLevel="0" collapsed="false">
      <c r="I112" s="68"/>
      <c r="J112" s="68"/>
    </row>
    <row r="113" customFormat="false" ht="15" hidden="false" customHeight="false" outlineLevel="0" collapsed="false">
      <c r="I113" s="68"/>
      <c r="J113" s="68"/>
    </row>
    <row r="114" customFormat="false" ht="15" hidden="false" customHeight="false" outlineLevel="0" collapsed="false">
      <c r="I114" s="68"/>
      <c r="J114" s="68"/>
    </row>
    <row r="115" customFormat="false" ht="15" hidden="false" customHeight="false" outlineLevel="0" collapsed="false">
      <c r="I115" s="68"/>
      <c r="J115" s="68"/>
    </row>
    <row r="116" customFormat="false" ht="15" hidden="false" customHeight="false" outlineLevel="0" collapsed="false">
      <c r="I116" s="68"/>
      <c r="J116" s="68"/>
    </row>
    <row r="117" customFormat="false" ht="15" hidden="false" customHeight="false" outlineLevel="0" collapsed="false">
      <c r="I117" s="68"/>
      <c r="J117" s="68"/>
    </row>
    <row r="118" customFormat="false" ht="15" hidden="false" customHeight="false" outlineLevel="0" collapsed="false">
      <c r="I118" s="68"/>
      <c r="J118" s="68"/>
    </row>
    <row r="119" customFormat="false" ht="15" hidden="false" customHeight="false" outlineLevel="0" collapsed="false">
      <c r="I119" s="68"/>
      <c r="J119" s="68"/>
    </row>
    <row r="120" customFormat="false" ht="15" hidden="false" customHeight="false" outlineLevel="0" collapsed="false">
      <c r="I120" s="68"/>
      <c r="J120" s="68"/>
    </row>
    <row r="121" customFormat="false" ht="15" hidden="false" customHeight="false" outlineLevel="0" collapsed="false">
      <c r="I121" s="68"/>
      <c r="J121" s="68"/>
    </row>
    <row r="122" customFormat="false" ht="15" hidden="false" customHeight="false" outlineLevel="0" collapsed="false">
      <c r="I122" s="68"/>
      <c r="J122" s="68"/>
    </row>
    <row r="123" customFormat="false" ht="15" hidden="false" customHeight="false" outlineLevel="0" collapsed="false">
      <c r="I123" s="68"/>
      <c r="J123" s="68"/>
    </row>
    <row r="124" customFormat="false" ht="15" hidden="false" customHeight="false" outlineLevel="0" collapsed="false">
      <c r="I124" s="68"/>
      <c r="J124" s="68"/>
    </row>
    <row r="125" customFormat="false" ht="15" hidden="false" customHeight="false" outlineLevel="0" collapsed="false">
      <c r="I125" s="68"/>
      <c r="J125" s="68"/>
    </row>
    <row r="126" customFormat="false" ht="15" hidden="false" customHeight="false" outlineLevel="0" collapsed="false">
      <c r="I126" s="68"/>
      <c r="J126" s="68"/>
    </row>
    <row r="127" customFormat="false" ht="15" hidden="false" customHeight="false" outlineLevel="0" collapsed="false">
      <c r="I127" s="68"/>
      <c r="J127" s="68"/>
    </row>
    <row r="128" customFormat="false" ht="15" hidden="false" customHeight="false" outlineLevel="0" collapsed="false">
      <c r="I128" s="68"/>
      <c r="J128" s="68"/>
    </row>
    <row r="129" customFormat="false" ht="15" hidden="false" customHeight="false" outlineLevel="0" collapsed="false">
      <c r="I129" s="68"/>
      <c r="J129" s="68"/>
    </row>
    <row r="130" customFormat="false" ht="15" hidden="false" customHeight="false" outlineLevel="0" collapsed="false">
      <c r="I130" s="76"/>
      <c r="J130" s="76"/>
    </row>
    <row r="132" customFormat="false" ht="15" hidden="false" customHeight="false" outlineLevel="0" collapsed="false">
      <c r="I132" s="76"/>
      <c r="J132" s="76"/>
    </row>
  </sheetData>
  <mergeCells count="3">
    <mergeCell ref="F4:H4"/>
    <mergeCell ref="I4:K4"/>
    <mergeCell ref="N4:P4"/>
  </mergeCells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9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84"/>
    <col collapsed="false" customWidth="true" hidden="false" outlineLevel="0" max="2" min="2" style="0" width="22.99"/>
    <col collapsed="false" customWidth="true" hidden="true" outlineLevel="0" max="3" min="3" style="0" width="16.28"/>
    <col collapsed="false" customWidth="true" hidden="false" outlineLevel="0" max="4" min="4" style="0" width="18.99"/>
    <col collapsed="false" customWidth="true" hidden="false" outlineLevel="0" max="5" min="5" style="0" width="19.14"/>
    <col collapsed="false" customWidth="true" hidden="true" outlineLevel="0" max="6" min="6" style="0" width="19.85"/>
    <col collapsed="false" customWidth="true" hidden="true" outlineLevel="0" max="7" min="7" style="0" width="19.28"/>
    <col collapsed="false" customWidth="true" hidden="true" outlineLevel="0" max="9" min="8" style="0" width="16.28"/>
    <col collapsed="false" customWidth="true" hidden="true" outlineLevel="0" max="10" min="10" style="0" width="18.99"/>
    <col collapsed="false" customWidth="true" hidden="true" outlineLevel="0" max="11" min="11" style="0" width="16.28"/>
    <col collapsed="false" customWidth="true" hidden="false" outlineLevel="0" max="12" min="12" style="0" width="23.56"/>
    <col collapsed="false" customWidth="true" hidden="true" outlineLevel="0" max="13" min="13" style="198" width="16.28"/>
    <col collapsed="false" customWidth="true" hidden="true" outlineLevel="0" max="14" min="14" style="0" width="17.28"/>
    <col collapsed="false" customWidth="true" hidden="true" outlineLevel="0" max="16" min="15" style="0" width="16.28"/>
    <col collapsed="false" customWidth="true" hidden="false" outlineLevel="0" max="17" min="17" style="0" width="16.28"/>
    <col collapsed="false" customWidth="true" hidden="false" outlineLevel="0" max="18" min="18" style="0" width="18.7"/>
    <col collapsed="false" customWidth="true" hidden="false" outlineLevel="0" max="19" min="19" style="0" width="50.13"/>
    <col collapsed="false" customWidth="true" hidden="false" outlineLevel="0" max="20" min="20" style="0" width="5.99"/>
    <col collapsed="false" customWidth="true" hidden="false" outlineLevel="0" max="21" min="21" style="0" width="22.14"/>
    <col collapsed="false" customWidth="true" hidden="false" outlineLevel="0" max="22" min="22" style="0" width="25.56"/>
    <col collapsed="false" customWidth="true" hidden="false" outlineLevel="0" max="23" min="23" style="0" width="15.13"/>
  </cols>
  <sheetData>
    <row r="1" customFormat="false" ht="20.25" hidden="false" customHeight="false" outlineLevel="0" collapsed="false">
      <c r="A1" s="199" t="s">
        <v>0</v>
      </c>
    </row>
    <row r="2" customFormat="false" ht="18" hidden="false" customHeight="false" outlineLevel="0" collapsed="false">
      <c r="A2" s="6" t="s">
        <v>1</v>
      </c>
      <c r="B2" s="7" t="n">
        <f aca="false">+'PG&amp;E Corp. '!B2</f>
        <v>36963</v>
      </c>
      <c r="C2" s="7"/>
    </row>
    <row r="3" customFormat="false" ht="15.75" hidden="false" customHeight="false" outlineLevel="0" collapsed="false">
      <c r="A3" s="200"/>
      <c r="B3" s="200"/>
      <c r="C3" s="200"/>
      <c r="D3" s="200"/>
      <c r="E3" s="200"/>
      <c r="F3" s="10" t="s">
        <v>2</v>
      </c>
      <c r="G3" s="10"/>
      <c r="H3" s="10"/>
      <c r="I3" s="10" t="s">
        <v>5</v>
      </c>
      <c r="J3" s="10"/>
      <c r="K3" s="10"/>
      <c r="L3" s="11" t="s">
        <v>4</v>
      </c>
      <c r="M3" s="201"/>
      <c r="N3" s="10" t="s">
        <v>5</v>
      </c>
      <c r="O3" s="10"/>
      <c r="P3" s="10"/>
      <c r="Q3" s="200"/>
      <c r="R3" s="200"/>
      <c r="S3" s="200"/>
      <c r="T3" s="202"/>
      <c r="U3" s="203"/>
      <c r="V3" s="200"/>
      <c r="W3" s="200"/>
    </row>
    <row r="4" customFormat="false" ht="15.75" hidden="false" customHeight="false" outlineLevel="0" collapsed="false">
      <c r="A4" s="16"/>
      <c r="B4" s="16"/>
      <c r="C4" s="16"/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8</v>
      </c>
      <c r="J4" s="16" t="s">
        <v>9</v>
      </c>
      <c r="K4" s="16" t="s">
        <v>10</v>
      </c>
      <c r="L4" s="11" t="s">
        <v>11</v>
      </c>
      <c r="M4" s="18" t="s">
        <v>12</v>
      </c>
      <c r="N4" s="16" t="s">
        <v>8</v>
      </c>
      <c r="O4" s="16" t="s">
        <v>9</v>
      </c>
      <c r="P4" s="16" t="s">
        <v>13</v>
      </c>
      <c r="Q4" s="16" t="s">
        <v>14</v>
      </c>
      <c r="R4" s="16" t="s">
        <v>15</v>
      </c>
      <c r="S4" s="11"/>
      <c r="T4" s="16"/>
      <c r="U4" s="15"/>
      <c r="V4" s="11"/>
      <c r="W4" s="11"/>
    </row>
    <row r="5" customFormat="false" ht="15.75" hidden="false" customHeight="false" outlineLevel="0" collapsed="false">
      <c r="A5" s="19" t="s">
        <v>16</v>
      </c>
      <c r="B5" s="19" t="s">
        <v>17</v>
      </c>
      <c r="C5" s="19" t="s">
        <v>18</v>
      </c>
      <c r="D5" s="16" t="s">
        <v>19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20</v>
      </c>
      <c r="J5" s="16" t="s">
        <v>21</v>
      </c>
      <c r="K5" s="16" t="s">
        <v>22</v>
      </c>
      <c r="L5" s="16" t="s">
        <v>22</v>
      </c>
      <c r="M5" s="18" t="s">
        <v>23</v>
      </c>
      <c r="N5" s="16" t="s">
        <v>20</v>
      </c>
      <c r="O5" s="16" t="s">
        <v>21</v>
      </c>
      <c r="P5" s="16" t="s">
        <v>22</v>
      </c>
      <c r="Q5" s="16" t="s">
        <v>24</v>
      </c>
      <c r="R5" s="16" t="s">
        <v>25</v>
      </c>
      <c r="S5" s="11"/>
      <c r="T5" s="16"/>
      <c r="U5" s="15"/>
      <c r="V5" s="11"/>
      <c r="W5" s="11"/>
    </row>
    <row r="6" customFormat="false" ht="15.75" hidden="false" customHeight="fals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2"/>
      <c r="N6" s="20"/>
      <c r="O6" s="20"/>
      <c r="P6" s="20"/>
      <c r="Q6" s="20"/>
      <c r="R6" s="1"/>
      <c r="S6" s="1"/>
      <c r="T6" s="1"/>
      <c r="U6" s="1"/>
      <c r="V6" s="1"/>
      <c r="W6" s="1"/>
    </row>
    <row r="7" customFormat="false" ht="43.5" hidden="false" customHeight="true" outlineLevel="0" collapsed="false">
      <c r="A7" s="204" t="s">
        <v>82</v>
      </c>
      <c r="B7" s="205" t="s">
        <v>30</v>
      </c>
      <c r="C7" s="206" t="s">
        <v>28</v>
      </c>
      <c r="D7" s="207" t="n">
        <v>0</v>
      </c>
      <c r="E7" s="207" t="n">
        <v>-68530769</v>
      </c>
      <c r="F7" s="207" t="n">
        <v>1152000</v>
      </c>
      <c r="G7" s="207" t="n">
        <v>0</v>
      </c>
      <c r="H7" s="207" t="n">
        <f aca="false">+SUM(F7:G7)</f>
        <v>1152000</v>
      </c>
      <c r="I7" s="207" t="n">
        <f aca="false">480000+816000</f>
        <v>1296000</v>
      </c>
      <c r="J7" s="207" t="n">
        <v>0</v>
      </c>
      <c r="K7" s="207" t="n">
        <f aca="false">+SUM(I7:J7)</f>
        <v>1296000</v>
      </c>
      <c r="L7" s="207" t="n">
        <f aca="false">+K7+H7</f>
        <v>2448000</v>
      </c>
      <c r="M7" s="207" t="n">
        <v>-43530494</v>
      </c>
      <c r="N7" s="207" t="n">
        <f aca="false">48000+1248000</f>
        <v>1296000</v>
      </c>
      <c r="O7" s="207" t="n">
        <v>0</v>
      </c>
      <c r="P7" s="207" t="n">
        <f aca="false">+SUM(N7:O7)</f>
        <v>1296000</v>
      </c>
      <c r="Q7" s="207" t="n">
        <v>0</v>
      </c>
      <c r="R7" s="208" t="n">
        <f aca="false">+L7+E7</f>
        <v>-66082769</v>
      </c>
      <c r="S7" s="209" t="s">
        <v>83</v>
      </c>
      <c r="T7" s="210"/>
      <c r="U7" s="211"/>
      <c r="V7" s="212"/>
      <c r="W7" s="212"/>
    </row>
    <row r="8" customFormat="false" ht="72.75" hidden="false" customHeight="true" outlineLevel="0" collapsed="false">
      <c r="A8" s="213" t="s">
        <v>82</v>
      </c>
      <c r="B8" s="214" t="s">
        <v>84</v>
      </c>
      <c r="C8" s="214" t="s">
        <v>85</v>
      </c>
      <c r="D8" s="215" t="n">
        <v>0</v>
      </c>
      <c r="E8" s="215" t="n">
        <v>0</v>
      </c>
      <c r="F8" s="215" t="n">
        <f aca="false">58000000-2667000-2667000</f>
        <v>52666000</v>
      </c>
      <c r="G8" s="215" t="n">
        <v>0</v>
      </c>
      <c r="H8" s="216" t="n">
        <f aca="false">+SUM(F8:G8)</f>
        <v>52666000</v>
      </c>
      <c r="I8" s="217" t="n">
        <v>0</v>
      </c>
      <c r="J8" s="217" t="n">
        <v>0</v>
      </c>
      <c r="K8" s="216" t="n">
        <f aca="false">+SUM(I8:J8)</f>
        <v>0</v>
      </c>
      <c r="L8" s="215" t="n">
        <f aca="false">+K8+H8</f>
        <v>52666000</v>
      </c>
      <c r="M8" s="217"/>
      <c r="N8" s="217" t="n">
        <v>0</v>
      </c>
      <c r="O8" s="217" t="n">
        <v>0</v>
      </c>
      <c r="P8" s="216" t="n">
        <f aca="false">+SUM(N8:O8)</f>
        <v>0</v>
      </c>
      <c r="Q8" s="215" t="n">
        <f aca="false">+L8+E8</f>
        <v>52666000</v>
      </c>
      <c r="R8" s="218" t="n">
        <v>0</v>
      </c>
      <c r="S8" s="219" t="s">
        <v>86</v>
      </c>
      <c r="T8" s="220"/>
      <c r="U8" s="219" t="s">
        <v>87</v>
      </c>
      <c r="V8" s="221"/>
      <c r="W8" s="221"/>
    </row>
    <row r="9" customFormat="false" ht="63" hidden="false" customHeight="false" outlineLevel="0" collapsed="false">
      <c r="A9" s="44" t="s">
        <v>82</v>
      </c>
      <c r="B9" s="45" t="s">
        <v>31</v>
      </c>
      <c r="C9" s="45" t="s">
        <v>31</v>
      </c>
      <c r="D9" s="46" t="n">
        <v>0</v>
      </c>
      <c r="E9" s="222" t="n">
        <v>0</v>
      </c>
      <c r="F9" s="46" t="n">
        <v>84000000</v>
      </c>
      <c r="G9" s="46" t="n">
        <v>0</v>
      </c>
      <c r="H9" s="48" t="n">
        <f aca="false">+SUM(F9:G9)</f>
        <v>84000000</v>
      </c>
      <c r="I9" s="47" t="n">
        <v>0</v>
      </c>
      <c r="J9" s="47" t="n">
        <v>0</v>
      </c>
      <c r="K9" s="48" t="n">
        <f aca="false">+SUM(I9:J9)</f>
        <v>0</v>
      </c>
      <c r="L9" s="46" t="n">
        <f aca="false">+K9+H9</f>
        <v>84000000</v>
      </c>
      <c r="M9" s="47"/>
      <c r="N9" s="47" t="n">
        <v>0</v>
      </c>
      <c r="O9" s="47" t="n">
        <v>0</v>
      </c>
      <c r="P9" s="48" t="n">
        <f aca="false">+SUM(N9:O9)</f>
        <v>0</v>
      </c>
      <c r="Q9" s="46" t="n">
        <f aca="false">+L9+E9+D9</f>
        <v>84000000</v>
      </c>
      <c r="R9" s="223" t="n">
        <v>0</v>
      </c>
      <c r="S9" s="56" t="s">
        <v>88</v>
      </c>
      <c r="T9" s="224"/>
      <c r="U9" s="211"/>
      <c r="V9" s="212"/>
      <c r="W9" s="212"/>
    </row>
    <row r="10" customFormat="false" ht="63" hidden="false" customHeight="false" outlineLevel="0" collapsed="false">
      <c r="A10" s="44" t="s">
        <v>82</v>
      </c>
      <c r="B10" s="45" t="s">
        <v>33</v>
      </c>
      <c r="C10" s="45" t="s">
        <v>31</v>
      </c>
      <c r="D10" s="46" t="n">
        <v>0</v>
      </c>
      <c r="E10" s="46" t="n">
        <v>0</v>
      </c>
      <c r="F10" s="46" t="n">
        <v>56000000</v>
      </c>
      <c r="G10" s="46" t="n">
        <v>0</v>
      </c>
      <c r="H10" s="48" t="n">
        <f aca="false">+SUM(F10:G10)</f>
        <v>56000000</v>
      </c>
      <c r="I10" s="47" t="n">
        <v>0</v>
      </c>
      <c r="J10" s="47" t="n">
        <v>0</v>
      </c>
      <c r="K10" s="48" t="n">
        <f aca="false">+SUM(I10:J10)</f>
        <v>0</v>
      </c>
      <c r="L10" s="46" t="n">
        <f aca="false">+K10+H10</f>
        <v>56000000</v>
      </c>
      <c r="M10" s="47"/>
      <c r="N10" s="47" t="n">
        <v>0</v>
      </c>
      <c r="O10" s="47" t="n">
        <v>0</v>
      </c>
      <c r="P10" s="48" t="n">
        <f aca="false">+SUM(N10:O10)</f>
        <v>0</v>
      </c>
      <c r="Q10" s="46" t="n">
        <f aca="false">+L10+E10+D10</f>
        <v>56000000</v>
      </c>
      <c r="R10" s="223" t="n">
        <v>0</v>
      </c>
      <c r="S10" s="56" t="s">
        <v>89</v>
      </c>
      <c r="T10" s="224"/>
      <c r="U10" s="211"/>
      <c r="V10" s="212"/>
      <c r="W10" s="212"/>
    </row>
    <row r="11" customFormat="false" ht="63" hidden="false" customHeight="true" outlineLevel="0" collapsed="false">
      <c r="A11" s="51" t="s">
        <v>82</v>
      </c>
      <c r="B11" s="57" t="s">
        <v>90</v>
      </c>
      <c r="C11" s="45" t="s">
        <v>36</v>
      </c>
      <c r="D11" s="58" t="n">
        <v>0</v>
      </c>
      <c r="E11" s="58" t="n">
        <v>30152467</v>
      </c>
      <c r="F11" s="58" t="n">
        <f aca="false">4240934.11+(213807.42*31)</f>
        <v>10868964.13</v>
      </c>
      <c r="G11" s="46" t="n">
        <v>0</v>
      </c>
      <c r="H11" s="48" t="n">
        <f aca="false">+SUM(F11:G11)</f>
        <v>10868964.13</v>
      </c>
      <c r="I11" s="47" t="n">
        <v>0</v>
      </c>
      <c r="J11" s="47" t="n">
        <v>0</v>
      </c>
      <c r="K11" s="48" t="n">
        <f aca="false">+SUM(I11:J11)</f>
        <v>0</v>
      </c>
      <c r="L11" s="58" t="n">
        <f aca="false">+K11+H11</f>
        <v>10868964.13</v>
      </c>
      <c r="M11" s="48"/>
      <c r="N11" s="47" t="n">
        <v>0</v>
      </c>
      <c r="O11" s="47" t="n">
        <v>0</v>
      </c>
      <c r="P11" s="48" t="n">
        <f aca="false">+SUM(N11:O11)</f>
        <v>0</v>
      </c>
      <c r="Q11" s="59" t="n">
        <f aca="false">+L11+E11</f>
        <v>41021431.13</v>
      </c>
      <c r="R11" s="59" t="n">
        <v>0</v>
      </c>
      <c r="S11" s="225" t="s">
        <v>91</v>
      </c>
      <c r="T11" s="224"/>
      <c r="U11" s="211"/>
      <c r="V11" s="212"/>
      <c r="W11" s="212"/>
    </row>
    <row r="12" customFormat="false" ht="18.75" hidden="false" customHeight="true" outlineLevel="0" collapsed="false">
      <c r="A12" s="226" t="s">
        <v>92</v>
      </c>
      <c r="B12" s="227"/>
      <c r="C12" s="227"/>
      <c r="D12" s="228"/>
      <c r="E12" s="228"/>
      <c r="F12" s="228"/>
      <c r="G12" s="228"/>
      <c r="H12" s="228"/>
      <c r="I12" s="48"/>
      <c r="J12" s="48"/>
      <c r="K12" s="228"/>
      <c r="L12" s="228"/>
      <c r="M12" s="48"/>
      <c r="N12" s="48"/>
      <c r="O12" s="48"/>
      <c r="P12" s="228"/>
      <c r="Q12" s="229" t="n">
        <f aca="false">SUM(Q7:Q11)</f>
        <v>233687431.13</v>
      </c>
      <c r="R12" s="229" t="n">
        <f aca="false">SUM(R7:R11)</f>
        <v>-66082769</v>
      </c>
      <c r="S12" s="230" t="n">
        <f aca="false">+R12+Q12</f>
        <v>167604662.13</v>
      </c>
      <c r="T12" s="224"/>
      <c r="U12" s="211"/>
      <c r="V12" s="212"/>
      <c r="W12" s="212"/>
    </row>
    <row r="13" customFormat="false" ht="13.5" hidden="false" customHeight="true" outlineLevel="0" collapsed="false">
      <c r="A13" s="159"/>
      <c r="B13" s="231"/>
      <c r="C13" s="231"/>
      <c r="D13" s="232"/>
      <c r="E13" s="232"/>
      <c r="F13" s="233"/>
      <c r="G13" s="232"/>
      <c r="H13" s="232"/>
      <c r="I13" s="234"/>
      <c r="J13" s="234"/>
      <c r="K13" s="232"/>
      <c r="L13" s="235"/>
      <c r="M13" s="236"/>
      <c r="N13" s="236"/>
      <c r="O13" s="236"/>
      <c r="P13" s="235"/>
      <c r="Q13" s="237"/>
      <c r="R13" s="238"/>
      <c r="S13" s="239"/>
      <c r="T13" s="240"/>
      <c r="U13" s="241"/>
      <c r="V13" s="242"/>
      <c r="W13" s="242"/>
    </row>
    <row r="14" customFormat="false" ht="13.5" hidden="false" customHeight="true" outlineLevel="0" collapsed="false">
      <c r="A14" s="243"/>
      <c r="B14" s="244"/>
      <c r="C14" s="244"/>
      <c r="D14" s="245"/>
      <c r="E14" s="245"/>
      <c r="F14" s="245"/>
      <c r="G14" s="245"/>
      <c r="H14" s="245"/>
      <c r="I14" s="246"/>
      <c r="J14" s="246"/>
      <c r="K14" s="245"/>
      <c r="L14" s="247"/>
      <c r="M14" s="248"/>
      <c r="N14" s="248"/>
      <c r="O14" s="248"/>
      <c r="P14" s="247"/>
      <c r="Q14" s="249"/>
      <c r="R14" s="250"/>
      <c r="S14" s="251"/>
      <c r="T14" s="252"/>
      <c r="U14" s="241"/>
      <c r="V14" s="242"/>
      <c r="W14" s="242"/>
    </row>
    <row r="15" customFormat="false" ht="13.5" hidden="false" customHeight="true" outlineLevel="0" collapsed="false">
      <c r="A15" s="141"/>
      <c r="B15" s="163"/>
      <c r="C15" s="163"/>
      <c r="D15" s="253"/>
      <c r="E15" s="253"/>
      <c r="F15" s="253"/>
      <c r="G15" s="253"/>
      <c r="H15" s="253"/>
      <c r="I15" s="254"/>
      <c r="J15" s="254"/>
      <c r="K15" s="253"/>
      <c r="L15" s="255"/>
      <c r="M15" s="256"/>
      <c r="N15" s="256"/>
      <c r="O15" s="256"/>
      <c r="P15" s="255"/>
      <c r="Q15" s="257"/>
      <c r="R15" s="258"/>
      <c r="S15" s="259"/>
      <c r="T15" s="260"/>
      <c r="U15" s="241"/>
      <c r="V15" s="242"/>
      <c r="W15" s="242"/>
    </row>
    <row r="16" customFormat="false" ht="16.5" hidden="false" customHeight="true" outlineLevel="0" collapsed="false">
      <c r="A16" s="42" t="s">
        <v>93</v>
      </c>
      <c r="B16" s="43" t="s">
        <v>94</v>
      </c>
      <c r="C16" s="33" t="s">
        <v>95</v>
      </c>
      <c r="D16" s="34" t="n">
        <v>0</v>
      </c>
      <c r="E16" s="34" t="n">
        <v>0</v>
      </c>
      <c r="F16" s="34" t="n">
        <v>0</v>
      </c>
      <c r="G16" s="34" t="n">
        <v>0</v>
      </c>
      <c r="H16" s="34" t="n">
        <f aca="false">+SUM(F16:G16)</f>
        <v>0</v>
      </c>
      <c r="I16" s="34" t="n">
        <v>0</v>
      </c>
      <c r="J16" s="34" t="n">
        <v>0</v>
      </c>
      <c r="K16" s="34" t="n">
        <f aca="false">+SUM(I16:J16)</f>
        <v>0</v>
      </c>
      <c r="L16" s="34" t="n">
        <f aca="false">+K16+H16</f>
        <v>0</v>
      </c>
      <c r="M16" s="34" t="n">
        <v>0</v>
      </c>
      <c r="N16" s="34" t="n">
        <v>0</v>
      </c>
      <c r="O16" s="34" t="n">
        <v>0</v>
      </c>
      <c r="P16" s="34" t="n">
        <f aca="false">+SUM(N16:O16)</f>
        <v>0</v>
      </c>
      <c r="Q16" s="34" t="n">
        <f aca="false">+L16+D16</f>
        <v>0</v>
      </c>
      <c r="R16" s="39" t="n">
        <v>0</v>
      </c>
      <c r="S16" s="39" t="s">
        <v>96</v>
      </c>
      <c r="T16" s="41"/>
      <c r="U16" s="30"/>
      <c r="V16" s="30"/>
      <c r="W16" s="31"/>
    </row>
    <row r="17" customFormat="false" ht="48" hidden="false" customHeight="true" outlineLevel="0" collapsed="false">
      <c r="A17" s="261" t="s">
        <v>93</v>
      </c>
      <c r="B17" s="262" t="s">
        <v>97</v>
      </c>
      <c r="C17" s="263" t="s">
        <v>95</v>
      </c>
      <c r="D17" s="264" t="n">
        <v>0</v>
      </c>
      <c r="E17" s="264" t="n">
        <v>-8635899</v>
      </c>
      <c r="F17" s="264" t="n">
        <v>4473320</v>
      </c>
      <c r="G17" s="264" t="n">
        <v>0</v>
      </c>
      <c r="H17" s="264" t="n">
        <f aca="false">+SUM(F17:G17)</f>
        <v>4473320</v>
      </c>
      <c r="I17" s="264" t="n">
        <v>0</v>
      </c>
      <c r="J17" s="264" t="n">
        <v>0</v>
      </c>
      <c r="K17" s="264" t="n">
        <f aca="false">+SUM(I17:J17)</f>
        <v>0</v>
      </c>
      <c r="L17" s="264" t="n">
        <f aca="false">+H17</f>
        <v>4473320</v>
      </c>
      <c r="M17" s="264" t="n">
        <v>-4444817</v>
      </c>
      <c r="N17" s="264" t="n">
        <v>0</v>
      </c>
      <c r="O17" s="264" t="n">
        <v>0</v>
      </c>
      <c r="P17" s="264" t="n">
        <f aca="false">+SUM(N17:O17)</f>
        <v>0</v>
      </c>
      <c r="Q17" s="264" t="n">
        <v>0</v>
      </c>
      <c r="R17" s="58" t="n">
        <f aca="false">+L17+E17</f>
        <v>-4162579</v>
      </c>
      <c r="S17" s="265" t="s">
        <v>98</v>
      </c>
      <c r="T17" s="41" t="s">
        <v>38</v>
      </c>
      <c r="U17" s="30"/>
      <c r="V17" s="30"/>
      <c r="W17" s="31"/>
    </row>
    <row r="18" customFormat="false" ht="15.75" hidden="false" customHeight="false" outlineLevel="0" collapsed="false">
      <c r="A18" s="42" t="s">
        <v>99</v>
      </c>
      <c r="B18" s="43" t="s">
        <v>29</v>
      </c>
      <c r="C18" s="33" t="s">
        <v>28</v>
      </c>
      <c r="D18" s="34" t="n">
        <v>0</v>
      </c>
      <c r="E18" s="34" t="n">
        <v>0</v>
      </c>
      <c r="F18" s="34" t="n">
        <v>0</v>
      </c>
      <c r="G18" s="34" t="n">
        <v>0</v>
      </c>
      <c r="H18" s="34" t="n">
        <f aca="false">+SUM(F18:G18)</f>
        <v>0</v>
      </c>
      <c r="I18" s="34" t="n">
        <v>0</v>
      </c>
      <c r="J18" s="34" t="n">
        <v>0</v>
      </c>
      <c r="K18" s="34" t="n">
        <f aca="false">+SUM(I18:J18)</f>
        <v>0</v>
      </c>
      <c r="L18" s="34" t="n">
        <f aca="false">+K18+H18</f>
        <v>0</v>
      </c>
      <c r="M18" s="34" t="n">
        <v>11891006</v>
      </c>
      <c r="N18" s="34" t="n">
        <v>0</v>
      </c>
      <c r="O18" s="34" t="n">
        <v>0</v>
      </c>
      <c r="P18" s="34" t="n">
        <f aca="false">+SUM(N18:O18)</f>
        <v>0</v>
      </c>
      <c r="Q18" s="34" t="n">
        <f aca="false">+L18+E18</f>
        <v>0</v>
      </c>
      <c r="R18" s="39" t="n">
        <v>0</v>
      </c>
      <c r="S18" s="39"/>
      <c r="T18" s="41"/>
      <c r="U18" s="30"/>
      <c r="V18" s="30"/>
      <c r="W18" s="31"/>
    </row>
    <row r="19" customFormat="false" ht="15.75" hidden="false" customHeight="false" outlineLevel="0" collapsed="false">
      <c r="A19" s="91" t="s">
        <v>100</v>
      </c>
      <c r="B19" s="92" t="s">
        <v>94</v>
      </c>
      <c r="C19" s="93" t="s">
        <v>95</v>
      </c>
      <c r="D19" s="94" t="n">
        <v>-132922</v>
      </c>
      <c r="E19" s="94" t="n">
        <v>0</v>
      </c>
      <c r="F19" s="94" t="n">
        <v>0</v>
      </c>
      <c r="G19" s="94" t="n">
        <v>-224622</v>
      </c>
      <c r="H19" s="94" t="n">
        <f aca="false">+SUM(F19:G19)</f>
        <v>-224622</v>
      </c>
      <c r="I19" s="94" t="n">
        <v>0</v>
      </c>
      <c r="J19" s="94" t="n">
        <v>0</v>
      </c>
      <c r="K19" s="94" t="n">
        <f aca="false">+SUM(I19:J19)</f>
        <v>0</v>
      </c>
      <c r="L19" s="94" t="n">
        <f aca="false">+K19+H19</f>
        <v>-224622</v>
      </c>
      <c r="M19" s="94" t="n">
        <f aca="false">+L19+E19</f>
        <v>-224622</v>
      </c>
      <c r="N19" s="94" t="n">
        <v>0</v>
      </c>
      <c r="O19" s="94" t="n">
        <v>0</v>
      </c>
      <c r="P19" s="94" t="n">
        <f aca="false">+SUM(N19:O19)</f>
        <v>0</v>
      </c>
      <c r="Q19" s="94" t="n">
        <v>0</v>
      </c>
      <c r="R19" s="96" t="n">
        <f aca="false">+D19+L19</f>
        <v>-357544</v>
      </c>
      <c r="S19" s="96" t="s">
        <v>101</v>
      </c>
      <c r="T19" s="98"/>
      <c r="U19" s="99"/>
      <c r="V19" s="99"/>
      <c r="W19" s="100"/>
    </row>
    <row r="20" customFormat="false" ht="15" hidden="false" customHeight="false" outlineLevel="0" collapsed="false">
      <c r="A20" s="107"/>
      <c r="B20" s="102"/>
      <c r="C20" s="102"/>
      <c r="D20" s="103"/>
      <c r="E20" s="103"/>
      <c r="F20" s="103"/>
      <c r="G20" s="103"/>
      <c r="H20" s="103"/>
      <c r="I20" s="103"/>
      <c r="J20" s="103"/>
      <c r="K20" s="103"/>
      <c r="L20" s="103"/>
      <c r="M20" s="55"/>
      <c r="N20" s="64"/>
      <c r="O20" s="64"/>
      <c r="P20" s="64"/>
      <c r="Q20" s="103"/>
      <c r="R20" s="104"/>
      <c r="S20" s="104"/>
      <c r="T20" s="106"/>
      <c r="U20" s="76"/>
      <c r="V20" s="76"/>
      <c r="W20" s="1"/>
    </row>
    <row r="21" customFormat="false" ht="15" hidden="false" customHeight="false" outlineLevel="0" collapsed="false">
      <c r="A21" s="107"/>
      <c r="B21" s="102"/>
      <c r="C21" s="102"/>
      <c r="D21" s="103"/>
      <c r="E21" s="103"/>
      <c r="F21" s="103"/>
      <c r="G21" s="103"/>
      <c r="H21" s="103"/>
      <c r="I21" s="103"/>
      <c r="J21" s="103"/>
      <c r="K21" s="103"/>
      <c r="L21" s="103"/>
      <c r="M21" s="55"/>
      <c r="N21" s="64"/>
      <c r="O21" s="64"/>
      <c r="P21" s="64"/>
      <c r="Q21" s="103"/>
      <c r="R21" s="104"/>
      <c r="S21" s="104"/>
      <c r="T21" s="106"/>
      <c r="U21" s="76"/>
      <c r="V21" s="76"/>
      <c r="W21" s="1"/>
    </row>
    <row r="22" customFormat="false" ht="78.75" hidden="false" customHeight="false" outlineLevel="0" collapsed="false">
      <c r="A22" s="266" t="s">
        <v>102</v>
      </c>
      <c r="B22" s="263" t="s">
        <v>29</v>
      </c>
      <c r="C22" s="263" t="s">
        <v>28</v>
      </c>
      <c r="D22" s="264" t="n">
        <v>16811333</v>
      </c>
      <c r="E22" s="264" t="n">
        <v>0</v>
      </c>
      <c r="F22" s="264" t="n">
        <v>0</v>
      </c>
      <c r="G22" s="264" t="n">
        <v>0</v>
      </c>
      <c r="H22" s="264" t="n">
        <f aca="false">+SUM(F22:G22)</f>
        <v>0</v>
      </c>
      <c r="I22" s="264" t="n">
        <v>0</v>
      </c>
      <c r="J22" s="264" t="n">
        <v>0</v>
      </c>
      <c r="K22" s="264" t="n">
        <f aca="false">+SUM(I22:J22)</f>
        <v>0</v>
      </c>
      <c r="L22" s="264" t="n">
        <f aca="false">+K22+H22</f>
        <v>0</v>
      </c>
      <c r="M22" s="264" t="n">
        <v>0</v>
      </c>
      <c r="N22" s="264" t="n">
        <v>0</v>
      </c>
      <c r="O22" s="264" t="n">
        <v>0</v>
      </c>
      <c r="P22" s="264" t="n">
        <f aca="false">+SUM(N22:O22)</f>
        <v>0</v>
      </c>
      <c r="Q22" s="264" t="n">
        <f aca="false">+L22+E22+D22</f>
        <v>16811333</v>
      </c>
      <c r="R22" s="46" t="n">
        <v>0</v>
      </c>
      <c r="S22" s="267" t="s">
        <v>103</v>
      </c>
      <c r="T22" s="61"/>
      <c r="U22" s="31"/>
      <c r="V22" s="31"/>
      <c r="W22" s="31"/>
    </row>
    <row r="23" customFormat="false" ht="30" hidden="false" customHeight="false" outlineLevel="0" collapsed="false">
      <c r="A23" s="261" t="s">
        <v>104</v>
      </c>
      <c r="B23" s="262" t="s">
        <v>30</v>
      </c>
      <c r="C23" s="263" t="s">
        <v>28</v>
      </c>
      <c r="D23" s="264" t="n">
        <v>0</v>
      </c>
      <c r="E23" s="264" t="n">
        <v>1482115</v>
      </c>
      <c r="F23" s="264" t="n">
        <f aca="false">49377940+2394460</f>
        <v>51772400</v>
      </c>
      <c r="G23" s="264" t="n">
        <v>-47800400</v>
      </c>
      <c r="H23" s="264" t="n">
        <f aca="false">+SUM(F23:G23)</f>
        <v>3972000</v>
      </c>
      <c r="I23" s="264" t="n">
        <f aca="false">3945040+7641820</f>
        <v>11586860</v>
      </c>
      <c r="J23" s="264" t="n">
        <f aca="false">-7630640-4594080</f>
        <v>-12224720</v>
      </c>
      <c r="K23" s="264" t="n">
        <f aca="false">+SUM(I23:J23)</f>
        <v>-637860</v>
      </c>
      <c r="L23" s="264" t="n">
        <f aca="false">+K23+H23</f>
        <v>3334140</v>
      </c>
      <c r="M23" s="264" t="n">
        <v>-11111175</v>
      </c>
      <c r="N23" s="264" t="n">
        <f aca="false">227180+6031680</f>
        <v>6258860</v>
      </c>
      <c r="O23" s="264" t="n">
        <f aca="false">-480760-11743960</f>
        <v>-12224720</v>
      </c>
      <c r="P23" s="264" t="n">
        <f aca="false">+SUM(N23:O23)</f>
        <v>-5965860</v>
      </c>
      <c r="Q23" s="264" t="n">
        <f aca="false">+L23+E23</f>
        <v>4816255</v>
      </c>
      <c r="R23" s="58" t="n">
        <v>0</v>
      </c>
      <c r="S23" s="268" t="s">
        <v>105</v>
      </c>
      <c r="T23" s="61"/>
      <c r="U23" s="31"/>
      <c r="V23" s="31"/>
      <c r="W23" s="31"/>
    </row>
    <row r="24" customFormat="false" ht="15.75" hidden="false" customHeight="false" outlineLevel="0" collapsed="false">
      <c r="A24" s="269"/>
      <c r="B24" s="102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55"/>
      <c r="N24" s="64"/>
      <c r="O24" s="64"/>
      <c r="P24" s="64"/>
      <c r="Q24" s="1"/>
      <c r="R24" s="1"/>
      <c r="S24" s="270"/>
      <c r="T24" s="271"/>
      <c r="U24" s="1"/>
      <c r="V24" s="1"/>
      <c r="W24" s="1"/>
    </row>
    <row r="25" customFormat="false" ht="16.5" hidden="false" customHeight="false" outlineLevel="0" collapsed="false">
      <c r="A25" s="101" t="s">
        <v>106</v>
      </c>
      <c r="B25" s="102"/>
      <c r="C25" s="102"/>
      <c r="D25" s="103"/>
      <c r="E25" s="103"/>
      <c r="F25" s="103"/>
      <c r="G25" s="103"/>
      <c r="H25" s="103"/>
      <c r="I25" s="103"/>
      <c r="J25" s="103"/>
      <c r="K25" s="103"/>
      <c r="L25" s="103"/>
      <c r="M25" s="55"/>
      <c r="N25" s="64"/>
      <c r="O25" s="64"/>
      <c r="P25" s="64"/>
      <c r="Q25" s="272" t="n">
        <f aca="false">SUM(Q16:Q23)</f>
        <v>21627588</v>
      </c>
      <c r="R25" s="272" t="n">
        <f aca="false">SUM(R16:R23)</f>
        <v>-4520123</v>
      </c>
      <c r="S25" s="273"/>
      <c r="T25" s="271"/>
      <c r="U25" s="1"/>
      <c r="V25" s="1"/>
      <c r="W25" s="1"/>
    </row>
    <row r="26" customFormat="false" ht="16.5" hidden="false" customHeight="false" outlineLevel="0" collapsed="false">
      <c r="A26" s="269" t="s">
        <v>107</v>
      </c>
      <c r="B26" s="102"/>
      <c r="C26" s="102"/>
      <c r="D26" s="103"/>
      <c r="E26" s="103"/>
      <c r="F26" s="103"/>
      <c r="G26" s="103"/>
      <c r="H26" s="103"/>
      <c r="I26" s="103"/>
      <c r="J26" s="103"/>
      <c r="K26" s="103"/>
      <c r="L26" s="103"/>
      <c r="M26" s="55"/>
      <c r="N26" s="64"/>
      <c r="O26" s="64"/>
      <c r="P26" s="64"/>
      <c r="Q26" s="274"/>
      <c r="R26" s="274"/>
      <c r="S26" s="168" t="n">
        <f aca="false">+Q25</f>
        <v>21627588</v>
      </c>
      <c r="T26" s="271"/>
      <c r="U26" s="76" t="n">
        <f aca="false">+SUM(R16:R23)</f>
        <v>-4520123</v>
      </c>
      <c r="V26" s="1" t="s">
        <v>108</v>
      </c>
      <c r="W26" s="76" t="n">
        <f aca="false">+S26+U26</f>
        <v>17107465</v>
      </c>
    </row>
    <row r="27" customFormat="false" ht="15.75" hidden="false" customHeight="false" outlineLevel="0" collapsed="false">
      <c r="A27" s="275" t="s">
        <v>68</v>
      </c>
      <c r="B27" s="102"/>
      <c r="C27" s="102"/>
      <c r="D27" s="103"/>
      <c r="E27" s="103"/>
      <c r="F27" s="103"/>
      <c r="G27" s="103"/>
      <c r="H27" s="103"/>
      <c r="I27" s="103"/>
      <c r="J27" s="103"/>
      <c r="K27" s="103"/>
      <c r="L27" s="103"/>
      <c r="M27" s="55"/>
      <c r="N27" s="64"/>
      <c r="O27" s="64"/>
      <c r="P27" s="64"/>
      <c r="Q27" s="274"/>
      <c r="R27" s="274"/>
      <c r="S27" s="276" t="n">
        <f aca="false">+R25</f>
        <v>-4520123</v>
      </c>
      <c r="T27" s="271"/>
      <c r="U27" s="1"/>
      <c r="V27" s="1"/>
      <c r="W27" s="1"/>
    </row>
    <row r="28" customFormat="false" ht="16.5" hidden="false" customHeight="false" outlineLevel="0" collapsed="false">
      <c r="A28" s="275" t="s">
        <v>71</v>
      </c>
      <c r="B28" s="102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55"/>
      <c r="N28" s="64"/>
      <c r="O28" s="64"/>
      <c r="P28" s="64"/>
      <c r="Q28" s="274"/>
      <c r="R28" s="274"/>
      <c r="S28" s="168" t="n">
        <f aca="false">SUM(S26:S27)</f>
        <v>17107465</v>
      </c>
      <c r="T28" s="271"/>
      <c r="U28" s="1"/>
      <c r="V28" s="1"/>
      <c r="W28" s="1"/>
    </row>
    <row r="29" customFormat="false" ht="16.5" hidden="false" customHeight="false" outlineLevel="0" collapsed="false">
      <c r="A29" s="277"/>
      <c r="B29" s="278"/>
      <c r="C29" s="278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80"/>
      <c r="R29" s="280"/>
      <c r="S29" s="281"/>
      <c r="T29" s="282"/>
      <c r="U29" s="150"/>
      <c r="V29" s="150"/>
      <c r="W29" s="150"/>
    </row>
    <row r="30" customFormat="false" ht="16.5" hidden="false" customHeight="false" outlineLevel="0" collapsed="false">
      <c r="A30" s="283" t="s">
        <v>109</v>
      </c>
      <c r="B30" s="145"/>
      <c r="C30" s="145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284" t="n">
        <f aca="false">+Q25+Q12</f>
        <v>255315019.13</v>
      </c>
      <c r="R30" s="284" t="n">
        <f aca="false">+R25+R12</f>
        <v>-70602892</v>
      </c>
      <c r="S30" s="187"/>
      <c r="T30" s="285"/>
      <c r="U30" s="150"/>
      <c r="V30" s="150"/>
      <c r="W30" s="150"/>
    </row>
    <row r="31" customFormat="false" ht="15.75" hidden="false" customHeight="false" outlineLevel="0" collapsed="false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48" t="n">
        <f aca="false">+S12+S26</f>
        <v>189232250.13</v>
      </c>
      <c r="T31" s="285"/>
      <c r="U31" s="147" t="n">
        <f aca="false">+Q30+R30</f>
        <v>184712127.13</v>
      </c>
      <c r="V31" s="187" t="s">
        <v>108</v>
      </c>
      <c r="W31" s="187"/>
    </row>
    <row r="32" customFormat="false" ht="15.75" hidden="false" customHeight="false" outlineLevel="0" collapsed="false">
      <c r="A32" s="144" t="s">
        <v>68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52" t="n">
        <f aca="false">+S27</f>
        <v>-4520123</v>
      </c>
      <c r="T32" s="285"/>
      <c r="U32" s="151"/>
      <c r="V32" s="150"/>
      <c r="W32" s="150"/>
    </row>
    <row r="33" customFormat="false" ht="16.5" hidden="false" customHeight="false" outlineLevel="0" collapsed="false">
      <c r="A33" s="286" t="s">
        <v>77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287" t="n">
        <f aca="false">SUM(S31:S32)</f>
        <v>184712127.13</v>
      </c>
      <c r="T33" s="288"/>
      <c r="U33" s="151"/>
      <c r="V33" s="150"/>
      <c r="W33" s="150"/>
    </row>
    <row r="34" customFormat="false" ht="15" hidden="false" customHeight="false" outlineLevel="0" collapsed="false">
      <c r="A34" s="1" t="s">
        <v>110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customFormat="false" ht="15" hidden="false" customHeight="false" outlineLevel="0" collapsed="false">
      <c r="A35" s="1" t="s">
        <v>111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"/>
      <c r="N39" s="1"/>
      <c r="O39" s="1"/>
      <c r="P39" s="1"/>
      <c r="Q39" s="289"/>
      <c r="R39" s="289"/>
      <c r="S39" s="1"/>
      <c r="T39" s="1"/>
      <c r="U39" s="1"/>
      <c r="V39" s="1"/>
      <c r="W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8" t="s">
        <v>112</v>
      </c>
      <c r="M40" s="3"/>
      <c r="N40" s="1"/>
      <c r="O40" s="1"/>
      <c r="P40" s="1"/>
      <c r="Q40" s="196" t="n">
        <f aca="false">+Q25+Q12-Q11-Q10-Q9-Q8</f>
        <v>21627588</v>
      </c>
      <c r="R40" s="196" t="n">
        <f aca="false">+R25+R12-R11-R10-R9-R8</f>
        <v>-70602892</v>
      </c>
      <c r="S40" s="1"/>
      <c r="T40" s="1"/>
      <c r="U40" s="1"/>
      <c r="V40" s="1"/>
      <c r="W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  <c r="N41" s="1"/>
      <c r="O41" s="1"/>
      <c r="P41" s="1"/>
      <c r="Q41" s="289"/>
      <c r="R41" s="289"/>
      <c r="S41" s="1"/>
      <c r="T41" s="1"/>
      <c r="U41" s="1"/>
      <c r="V41" s="1"/>
      <c r="W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customFormat="fals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customFormat="fals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customFormat="fals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customFormat="fals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</row>
  </sheetData>
  <mergeCells count="3">
    <mergeCell ref="F3:H3"/>
    <mergeCell ref="I3:K3"/>
    <mergeCell ref="N3:P3"/>
  </mergeCells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0" topLeftCell="E1" activePane="topRight" state="frozen"/>
      <selection pane="topLeft" activeCell="A1" activeCellId="0" sqref="A1"/>
      <selection pane="topRight" activeCell="E7" activeCellId="0" sqref="E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99"/>
    <col collapsed="false" customWidth="true" hidden="false" outlineLevel="0" max="2" min="2" style="0" width="30.99"/>
    <col collapsed="false" customWidth="true" hidden="true" outlineLevel="0" max="3" min="3" style="0" width="17.99"/>
    <col collapsed="false" customWidth="true" hidden="false" outlineLevel="0" max="4" min="4" style="0" width="40.7"/>
    <col collapsed="false" customWidth="true" hidden="false" outlineLevel="0" max="5" min="5" style="0" width="17.7"/>
    <col collapsed="false" customWidth="true" hidden="false" outlineLevel="0" max="7" min="6" style="0" width="18.28"/>
    <col collapsed="false" customWidth="true" hidden="false" outlineLevel="0" max="8" min="8" style="0" width="6.85"/>
    <col collapsed="false" customWidth="true" hidden="true" outlineLevel="0" max="9" min="9" style="0" width="20.41"/>
    <col collapsed="false" customWidth="true" hidden="false" outlineLevel="0" max="10" min="10" style="0" width="25.99"/>
    <col collapsed="false" customWidth="true" hidden="false" outlineLevel="0" max="11" min="11" style="0" width="17.14"/>
    <col collapsed="false" customWidth="true" hidden="false" outlineLevel="0" max="12" min="12" style="0" width="29.41"/>
    <col collapsed="false" customWidth="true" hidden="false" outlineLevel="0" max="13" min="13" style="0" width="16.99"/>
  </cols>
  <sheetData>
    <row r="1" customFormat="false" ht="20.25" hidden="false" customHeight="false" outlineLevel="0" collapsed="false">
      <c r="A1" s="199" t="s">
        <v>0</v>
      </c>
    </row>
    <row r="2" customFormat="false" ht="18" hidden="false" customHeight="false" outlineLevel="0" collapsed="false">
      <c r="A2" s="6" t="s">
        <v>1</v>
      </c>
      <c r="B2" s="7" t="n">
        <f aca="false">+'PG&amp;E Corp. '!B2</f>
        <v>36963</v>
      </c>
      <c r="C2" s="7"/>
    </row>
    <row r="3" customFormat="false" ht="15" hidden="false" customHeight="false" outlineLevel="0" collapsed="false">
      <c r="A3" s="20"/>
      <c r="B3" s="20"/>
      <c r="C3" s="20"/>
      <c r="D3" s="20"/>
      <c r="E3" s="20"/>
      <c r="F3" s="20"/>
      <c r="G3" s="20"/>
      <c r="H3" s="20"/>
      <c r="I3" s="20"/>
      <c r="J3" s="20"/>
      <c r="K3" s="1"/>
      <c r="L3" s="1"/>
      <c r="M3" s="1"/>
    </row>
    <row r="4" customFormat="false" ht="15.75" hidden="false" customHeight="false" outlineLevel="0" collapsed="false">
      <c r="A4" s="76"/>
      <c r="B4" s="76"/>
      <c r="C4" s="76"/>
      <c r="D4" s="16"/>
      <c r="E4" s="16"/>
      <c r="F4" s="16" t="s">
        <v>113</v>
      </c>
      <c r="G4" s="16" t="s">
        <v>114</v>
      </c>
      <c r="H4" s="1"/>
      <c r="I4" s="1"/>
      <c r="J4" s="16" t="s">
        <v>14</v>
      </c>
      <c r="K4" s="16" t="s">
        <v>115</v>
      </c>
      <c r="L4" s="290"/>
      <c r="M4" s="291" t="s">
        <v>116</v>
      </c>
    </row>
    <row r="5" customFormat="false" ht="15.75" hidden="false" customHeight="false" outlineLevel="0" collapsed="false">
      <c r="A5" s="14" t="s">
        <v>16</v>
      </c>
      <c r="B5" s="14" t="s">
        <v>17</v>
      </c>
      <c r="C5" s="14" t="s">
        <v>18</v>
      </c>
      <c r="D5" s="292" t="s">
        <v>117</v>
      </c>
      <c r="E5" s="16"/>
      <c r="F5" s="16" t="s">
        <v>118</v>
      </c>
      <c r="G5" s="16" t="s">
        <v>119</v>
      </c>
      <c r="H5" s="1"/>
      <c r="I5" s="1"/>
      <c r="J5" s="16" t="s">
        <v>24</v>
      </c>
      <c r="K5" s="16" t="s">
        <v>25</v>
      </c>
      <c r="L5" s="293"/>
      <c r="M5" s="294" t="s">
        <v>120</v>
      </c>
    </row>
    <row r="6" customFormat="false" ht="15.75" hidden="false" customHeight="false" outlineLevel="0" collapsed="false">
      <c r="A6" s="14"/>
      <c r="B6" s="14"/>
      <c r="C6" s="14"/>
      <c r="D6" s="292"/>
      <c r="E6" s="16"/>
      <c r="F6" s="16"/>
      <c r="G6" s="16"/>
      <c r="H6" s="1"/>
      <c r="I6" s="1"/>
      <c r="J6" s="16"/>
      <c r="K6" s="16"/>
      <c r="L6" s="293"/>
      <c r="M6" s="294"/>
    </row>
    <row r="7" customFormat="false" ht="15.75" hidden="false" customHeight="false" outlineLevel="0" collapsed="false">
      <c r="A7" s="85" t="s">
        <v>121</v>
      </c>
      <c r="B7" s="295" t="s">
        <v>122</v>
      </c>
      <c r="C7" s="296" t="s">
        <v>28</v>
      </c>
      <c r="D7" s="297" t="s">
        <v>123</v>
      </c>
      <c r="E7" s="298"/>
      <c r="F7" s="299" t="n">
        <v>41504394</v>
      </c>
      <c r="G7" s="300"/>
      <c r="H7" s="86"/>
      <c r="I7" s="86"/>
      <c r="J7" s="85" t="n">
        <f aca="false">+F7</f>
        <v>41504394</v>
      </c>
      <c r="K7" s="298"/>
      <c r="L7" s="301"/>
      <c r="M7" s="302" t="n">
        <v>36924</v>
      </c>
    </row>
    <row r="8" customFormat="false" ht="15.75" hidden="false" customHeight="false" outlineLevel="0" collapsed="false">
      <c r="A8" s="76" t="s">
        <v>121</v>
      </c>
      <c r="B8" s="20" t="s">
        <v>122</v>
      </c>
      <c r="C8" s="14" t="s">
        <v>28</v>
      </c>
      <c r="D8" s="303" t="s">
        <v>124</v>
      </c>
      <c r="E8" s="304"/>
      <c r="F8" s="305"/>
      <c r="G8" s="306" t="n">
        <v>0</v>
      </c>
      <c r="H8" s="1"/>
      <c r="I8" s="1"/>
      <c r="J8" s="76"/>
      <c r="K8" s="305" t="n">
        <f aca="false">+G8</f>
        <v>0</v>
      </c>
      <c r="L8" s="290"/>
      <c r="M8" s="307" t="n">
        <v>36955</v>
      </c>
    </row>
    <row r="9" customFormat="false" ht="15.75" hidden="false" customHeight="false" outlineLevel="0" collapsed="false">
      <c r="A9" s="76" t="s">
        <v>121</v>
      </c>
      <c r="B9" s="20" t="s">
        <v>122</v>
      </c>
      <c r="C9" s="14" t="s">
        <v>28</v>
      </c>
      <c r="D9" s="308" t="s">
        <v>125</v>
      </c>
      <c r="E9" s="304"/>
      <c r="F9" s="305"/>
      <c r="G9" s="306" t="n">
        <f aca="false">-12128192.17-6130740.44</f>
        <v>-18258932.61</v>
      </c>
      <c r="H9" s="1"/>
      <c r="I9" s="1"/>
      <c r="J9" s="76"/>
      <c r="K9" s="305" t="n">
        <f aca="false">+G9</f>
        <v>-18258932.61</v>
      </c>
      <c r="L9" s="309"/>
      <c r="M9" s="307" t="n">
        <v>36984</v>
      </c>
    </row>
    <row r="10" customFormat="false" ht="15.75" hidden="false" customHeight="false" outlineLevel="0" collapsed="false">
      <c r="A10" s="76" t="s">
        <v>121</v>
      </c>
      <c r="B10" s="20" t="s">
        <v>126</v>
      </c>
      <c r="C10" s="14" t="s">
        <v>85</v>
      </c>
      <c r="D10" s="308" t="s">
        <v>123</v>
      </c>
      <c r="E10" s="304"/>
      <c r="F10" s="306" t="n">
        <v>6243321.3</v>
      </c>
      <c r="G10" s="305"/>
      <c r="H10" s="1"/>
      <c r="I10" s="1"/>
      <c r="J10" s="76" t="n">
        <f aca="false">+F10</f>
        <v>6243321.3</v>
      </c>
      <c r="K10" s="304"/>
      <c r="L10" s="309"/>
      <c r="M10" s="310" t="n">
        <v>36924</v>
      </c>
    </row>
    <row r="11" customFormat="false" ht="15.75" hidden="false" customHeight="false" outlineLevel="0" collapsed="false">
      <c r="A11" s="76" t="s">
        <v>121</v>
      </c>
      <c r="B11" s="20" t="s">
        <v>126</v>
      </c>
      <c r="C11" s="14" t="s">
        <v>85</v>
      </c>
      <c r="D11" s="308" t="s">
        <v>124</v>
      </c>
      <c r="E11" s="304"/>
      <c r="F11" s="306" t="n">
        <v>42863580.48</v>
      </c>
      <c r="G11" s="305"/>
      <c r="H11" s="1"/>
      <c r="I11" s="1"/>
      <c r="J11" s="76" t="n">
        <f aca="false">+F11</f>
        <v>42863580.48</v>
      </c>
      <c r="K11" s="304"/>
      <c r="L11" s="309"/>
      <c r="M11" s="307" t="n">
        <v>36955</v>
      </c>
    </row>
    <row r="12" customFormat="false" ht="15.75" hidden="false" customHeight="false" outlineLevel="0" collapsed="false">
      <c r="A12" s="76" t="s">
        <v>121</v>
      </c>
      <c r="B12" s="20" t="s">
        <v>126</v>
      </c>
      <c r="C12" s="14" t="s">
        <v>85</v>
      </c>
      <c r="D12" s="308" t="s">
        <v>125</v>
      </c>
      <c r="E12" s="304"/>
      <c r="F12" s="306" t="n">
        <f aca="false">10737043+4358562</f>
        <v>15095605</v>
      </c>
      <c r="G12" s="305"/>
      <c r="H12" s="1"/>
      <c r="I12" s="1"/>
      <c r="J12" s="76" t="n">
        <f aca="false">+F12</f>
        <v>15095605</v>
      </c>
      <c r="K12" s="304"/>
      <c r="L12" s="309"/>
      <c r="M12" s="307" t="n">
        <v>36984</v>
      </c>
    </row>
    <row r="13" customFormat="false" ht="15.75" hidden="false" customHeight="false" outlineLevel="0" collapsed="false">
      <c r="A13" s="1"/>
      <c r="B13" s="1"/>
      <c r="C13" s="1"/>
      <c r="D13" s="1"/>
      <c r="E13" s="311"/>
      <c r="F13" s="312"/>
      <c r="G13" s="313"/>
      <c r="H13" s="1"/>
      <c r="I13" s="1"/>
      <c r="J13" s="314"/>
      <c r="K13" s="315"/>
      <c r="L13" s="290"/>
      <c r="M13" s="1"/>
    </row>
    <row r="14" customFormat="false" ht="16.5" hidden="false" customHeight="false" outlineLevel="0" collapsed="false">
      <c r="A14" s="195" t="s">
        <v>127</v>
      </c>
      <c r="B14" s="1"/>
      <c r="C14" s="1"/>
      <c r="D14" s="1"/>
      <c r="E14" s="304"/>
      <c r="F14" s="76" t="n">
        <f aca="false">SUM(F7:F12)</f>
        <v>105706900.78</v>
      </c>
      <c r="G14" s="76" t="n">
        <f aca="false">SUM(G7:G12)</f>
        <v>-18258932.61</v>
      </c>
      <c r="H14" s="1"/>
      <c r="I14" s="1"/>
      <c r="J14" s="195" t="n">
        <f aca="false">SUM(J7:J12)</f>
        <v>105706900.78</v>
      </c>
      <c r="K14" s="195" t="n">
        <f aca="false">SUM(K7:K12)</f>
        <v>-18258932.61</v>
      </c>
      <c r="L14" s="168"/>
      <c r="M14" s="1"/>
    </row>
    <row r="15" customFormat="false" ht="15" hidden="false" customHeight="false" outlineLevel="0" collapsed="false">
      <c r="A15" s="1"/>
      <c r="B15" s="1"/>
      <c r="C15" s="1"/>
      <c r="D15" s="1"/>
      <c r="E15" s="316"/>
      <c r="F15" s="304"/>
      <c r="G15" s="304"/>
      <c r="H15" s="1"/>
      <c r="I15" s="1"/>
      <c r="J15" s="1"/>
      <c r="K15" s="304"/>
      <c r="L15" s="290"/>
      <c r="M15" s="1"/>
    </row>
    <row r="16" customFormat="false" ht="15.75" hidden="false" customHeight="false" outlineLevel="0" collapsed="false">
      <c r="A16" s="1"/>
      <c r="B16" s="1"/>
      <c r="C16" s="1"/>
      <c r="D16" s="1"/>
      <c r="E16" s="316"/>
      <c r="F16" s="304"/>
      <c r="G16" s="304"/>
      <c r="H16" s="1"/>
      <c r="I16" s="1"/>
      <c r="J16" s="1"/>
      <c r="K16" s="1"/>
      <c r="L16" s="290"/>
      <c r="M16" s="11"/>
    </row>
    <row r="17" customFormat="false" ht="15.75" hidden="false" customHeight="false" outlineLevel="0" collapsed="false">
      <c r="A17" s="1"/>
      <c r="B17" s="1"/>
      <c r="C17" s="1"/>
      <c r="D17" s="1"/>
      <c r="E17" s="316"/>
      <c r="F17" s="317"/>
      <c r="G17" s="317"/>
      <c r="H17" s="1"/>
      <c r="I17" s="1"/>
      <c r="J17" s="1"/>
      <c r="K17" s="1"/>
      <c r="L17" s="15" t="s">
        <v>128</v>
      </c>
      <c r="M17" s="11" t="s">
        <v>129</v>
      </c>
    </row>
    <row r="18" customFormat="false" ht="15.75" hidden="false" customHeight="false" outlineLevel="0" collapsed="false">
      <c r="A18" s="1"/>
      <c r="B18" s="1"/>
      <c r="C18" s="1"/>
      <c r="D18" s="16"/>
      <c r="E18" s="16" t="s">
        <v>7</v>
      </c>
      <c r="F18" s="318" t="s">
        <v>113</v>
      </c>
      <c r="G18" s="318" t="s">
        <v>114</v>
      </c>
      <c r="H18" s="1"/>
      <c r="I18" s="1"/>
      <c r="J18" s="16" t="s">
        <v>14</v>
      </c>
      <c r="K18" s="16" t="s">
        <v>130</v>
      </c>
      <c r="L18" s="15" t="s">
        <v>131</v>
      </c>
      <c r="M18" s="11" t="s">
        <v>132</v>
      </c>
    </row>
    <row r="19" customFormat="false" ht="15.75" hidden="false" customHeight="false" outlineLevel="0" collapsed="false">
      <c r="A19" s="14" t="s">
        <v>16</v>
      </c>
      <c r="B19" s="14" t="s">
        <v>17</v>
      </c>
      <c r="C19" s="14"/>
      <c r="D19" s="319" t="s">
        <v>117</v>
      </c>
      <c r="E19" s="16" t="s">
        <v>19</v>
      </c>
      <c r="F19" s="16" t="s">
        <v>118</v>
      </c>
      <c r="G19" s="16" t="s">
        <v>119</v>
      </c>
      <c r="H19" s="1"/>
      <c r="I19" s="1"/>
      <c r="J19" s="16" t="s">
        <v>24</v>
      </c>
      <c r="K19" s="16" t="s">
        <v>25</v>
      </c>
      <c r="L19" s="320" t="s">
        <v>133</v>
      </c>
      <c r="M19" s="321" t="s">
        <v>133</v>
      </c>
    </row>
    <row r="20" customFormat="false" ht="15.75" hidden="false" customHeight="false" outlineLevel="0" collapsed="false">
      <c r="A20" s="1" t="s">
        <v>134</v>
      </c>
      <c r="B20" s="20" t="s">
        <v>122</v>
      </c>
      <c r="C20" s="14" t="s">
        <v>28</v>
      </c>
      <c r="D20" s="316" t="s">
        <v>135</v>
      </c>
      <c r="E20" s="76"/>
      <c r="F20" s="306"/>
      <c r="G20" s="306" t="n">
        <f aca="false">-17846030.82+19262.94</f>
        <v>-17826767.88</v>
      </c>
      <c r="H20" s="1"/>
      <c r="I20" s="1"/>
      <c r="J20" s="76"/>
      <c r="K20" s="76" t="n">
        <f aca="false">+G20</f>
        <v>-17826767.88</v>
      </c>
      <c r="L20" s="292" t="n">
        <v>36923</v>
      </c>
      <c r="M20" s="322" t="n">
        <v>36927</v>
      </c>
    </row>
    <row r="21" customFormat="false" ht="15.75" hidden="false" customHeight="false" outlineLevel="0" collapsed="false">
      <c r="A21" s="1" t="s">
        <v>134</v>
      </c>
      <c r="B21" s="20" t="s">
        <v>122</v>
      </c>
      <c r="C21" s="14" t="s">
        <v>28</v>
      </c>
      <c r="D21" s="323" t="s">
        <v>136</v>
      </c>
      <c r="E21" s="76"/>
      <c r="F21" s="306"/>
      <c r="G21" s="306" t="n">
        <v>0</v>
      </c>
      <c r="H21" s="1"/>
      <c r="I21" s="1"/>
      <c r="J21" s="76"/>
      <c r="K21" s="76" t="n">
        <f aca="false">+G21</f>
        <v>0</v>
      </c>
      <c r="L21" s="292" t="n">
        <v>36952</v>
      </c>
      <c r="M21" s="322" t="n">
        <v>36956</v>
      </c>
    </row>
    <row r="22" customFormat="false" ht="15.75" hidden="false" customHeight="false" outlineLevel="0" collapsed="false">
      <c r="A22" s="1" t="s">
        <v>134</v>
      </c>
      <c r="B22" s="20" t="s">
        <v>122</v>
      </c>
      <c r="C22" s="14" t="s">
        <v>28</v>
      </c>
      <c r="D22" s="323" t="s">
        <v>137</v>
      </c>
      <c r="E22" s="76"/>
      <c r="F22" s="306" t="n">
        <v>8081693.52</v>
      </c>
      <c r="G22" s="306"/>
      <c r="H22" s="1"/>
      <c r="I22" s="1"/>
      <c r="J22" s="76" t="n">
        <f aca="false">+F22</f>
        <v>8081693.52</v>
      </c>
      <c r="K22" s="76"/>
      <c r="L22" s="324" t="n">
        <v>36907</v>
      </c>
      <c r="M22" s="307" t="n">
        <v>36909</v>
      </c>
      <c r="N22" s="1" t="s">
        <v>138</v>
      </c>
    </row>
    <row r="23" customFormat="false" ht="15.75" hidden="false" customHeight="false" outlineLevel="0" collapsed="false">
      <c r="A23" s="1" t="s">
        <v>134</v>
      </c>
      <c r="B23" s="20" t="s">
        <v>122</v>
      </c>
      <c r="C23" s="14" t="s">
        <v>28</v>
      </c>
      <c r="D23" s="323" t="s">
        <v>139</v>
      </c>
      <c r="E23" s="76"/>
      <c r="F23" s="306"/>
      <c r="G23" s="306" t="n">
        <v>0</v>
      </c>
      <c r="H23" s="1"/>
      <c r="I23" s="1"/>
      <c r="J23" s="76"/>
      <c r="K23" s="76" t="n">
        <f aca="false">G23</f>
        <v>0</v>
      </c>
      <c r="L23" s="292" t="n">
        <v>36907</v>
      </c>
      <c r="M23" s="322" t="n">
        <v>36909</v>
      </c>
      <c r="N23" s="1" t="s">
        <v>140</v>
      </c>
    </row>
    <row r="24" customFormat="false" ht="15.75" hidden="false" customHeight="false" outlineLevel="0" collapsed="false">
      <c r="A24" s="1" t="s">
        <v>134</v>
      </c>
      <c r="B24" s="20" t="s">
        <v>122</v>
      </c>
      <c r="C24" s="14" t="s">
        <v>28</v>
      </c>
      <c r="D24" s="323" t="s">
        <v>141</v>
      </c>
      <c r="E24" s="76"/>
      <c r="F24" s="306"/>
      <c r="G24" s="306" t="n">
        <v>-24715955.04</v>
      </c>
      <c r="H24" s="1"/>
      <c r="I24" s="1"/>
      <c r="J24" s="76"/>
      <c r="K24" s="76" t="n">
        <f aca="false">+G24</f>
        <v>-24715955.04</v>
      </c>
      <c r="L24" s="292" t="n">
        <v>36983</v>
      </c>
      <c r="M24" s="322" t="n">
        <v>36985</v>
      </c>
    </row>
    <row r="25" customFormat="false" ht="15.75" hidden="false" customHeight="false" outlineLevel="0" collapsed="false">
      <c r="A25" s="1" t="s">
        <v>134</v>
      </c>
      <c r="B25" s="20" t="s">
        <v>122</v>
      </c>
      <c r="C25" s="14" t="s">
        <v>28</v>
      </c>
      <c r="D25" s="323" t="s">
        <v>142</v>
      </c>
      <c r="E25" s="76"/>
      <c r="F25" s="306"/>
      <c r="G25" s="306" t="n">
        <v>-13338016</v>
      </c>
      <c r="H25" s="1"/>
      <c r="I25" s="1"/>
      <c r="J25" s="76"/>
      <c r="K25" s="76" t="n">
        <f aca="false">+G25</f>
        <v>-13338016</v>
      </c>
      <c r="L25" s="292" t="n">
        <v>36937</v>
      </c>
      <c r="M25" s="322" t="n">
        <v>36942</v>
      </c>
    </row>
    <row r="26" customFormat="false" ht="30.75" hidden="false" customHeight="false" outlineLevel="0" collapsed="false">
      <c r="A26" s="86" t="s">
        <v>134</v>
      </c>
      <c r="B26" s="295" t="s">
        <v>122</v>
      </c>
      <c r="C26" s="296" t="s">
        <v>28</v>
      </c>
      <c r="D26" s="325" t="s">
        <v>143</v>
      </c>
      <c r="E26" s="85" t="n">
        <v>-58031340</v>
      </c>
      <c r="F26" s="300"/>
      <c r="G26" s="299"/>
      <c r="H26" s="86"/>
      <c r="I26" s="86"/>
      <c r="J26" s="85"/>
      <c r="K26" s="85" t="n">
        <f aca="false">+E26</f>
        <v>-58031340</v>
      </c>
      <c r="L26" s="326" t="s">
        <v>144</v>
      </c>
      <c r="M26" s="327"/>
    </row>
    <row r="27" customFormat="false" ht="21" hidden="false" customHeight="true" outlineLevel="0" collapsed="false">
      <c r="A27" s="1" t="s">
        <v>134</v>
      </c>
      <c r="B27" s="20" t="s">
        <v>126</v>
      </c>
      <c r="C27" s="14" t="s">
        <v>85</v>
      </c>
      <c r="D27" s="328" t="s">
        <v>145</v>
      </c>
      <c r="E27" s="309"/>
      <c r="F27" s="306" t="n">
        <f aca="false">333417.38+139499.57+1081698.56-9280.27</f>
        <v>1545335.24</v>
      </c>
      <c r="G27" s="306"/>
      <c r="H27" s="1"/>
      <c r="I27" s="1"/>
      <c r="J27" s="76" t="n">
        <f aca="false">+F27</f>
        <v>1545335.24</v>
      </c>
      <c r="K27" s="76"/>
      <c r="L27" s="324" t="n">
        <v>36907</v>
      </c>
      <c r="M27" s="307" t="n">
        <v>36909</v>
      </c>
    </row>
    <row r="28" customFormat="false" ht="15.75" hidden="false" customHeight="false" outlineLevel="0" collapsed="false">
      <c r="A28" s="1" t="s">
        <v>134</v>
      </c>
      <c r="B28" s="20" t="s">
        <v>126</v>
      </c>
      <c r="C28" s="1"/>
      <c r="D28" s="323" t="s">
        <v>142</v>
      </c>
      <c r="E28" s="329"/>
      <c r="F28" s="312" t="n">
        <v>7623476</v>
      </c>
      <c r="G28" s="313"/>
      <c r="H28" s="1"/>
      <c r="I28" s="1"/>
      <c r="J28" s="330" t="n">
        <f aca="false">+F28</f>
        <v>7623476</v>
      </c>
      <c r="K28" s="330"/>
      <c r="L28" s="331"/>
      <c r="M28" s="1"/>
    </row>
    <row r="29" customFormat="false" ht="16.5" hidden="false" customHeight="false" outlineLevel="0" collapsed="false">
      <c r="A29" s="8" t="s">
        <v>146</v>
      </c>
      <c r="B29" s="1"/>
      <c r="C29" s="1"/>
      <c r="D29" s="1"/>
      <c r="E29" s="332" t="n">
        <f aca="false">E26</f>
        <v>-58031340</v>
      </c>
      <c r="F29" s="195" t="n">
        <f aca="false">SUM(F20:F28)</f>
        <v>17250504.76</v>
      </c>
      <c r="G29" s="195" t="n">
        <f aca="false">SUM(G20:G28)</f>
        <v>-55880738.92</v>
      </c>
      <c r="H29" s="1"/>
      <c r="I29" s="1"/>
      <c r="J29" s="195" t="n">
        <f aca="false">SUM(J20:J28)</f>
        <v>17250504.76</v>
      </c>
      <c r="K29" s="195" t="n">
        <f aca="false">SUM(K20:K28)</f>
        <v>-113912078.92</v>
      </c>
      <c r="L29" s="333"/>
      <c r="M29" s="1"/>
    </row>
    <row r="30" customFormat="false" ht="15" hidden="false" customHeight="false" outlineLevel="0" collapsed="false">
      <c r="A30" s="1"/>
      <c r="B30" s="1"/>
      <c r="C30" s="1"/>
      <c r="D30" s="1"/>
      <c r="E30" s="303"/>
      <c r="F30" s="306"/>
      <c r="G30" s="1"/>
      <c r="H30" s="1"/>
      <c r="I30" s="1"/>
      <c r="J30" s="322"/>
      <c r="K30" s="1"/>
      <c r="L30" s="331"/>
      <c r="M30" s="1"/>
    </row>
    <row r="31" customFormat="false" ht="15.75" hidden="false" customHeight="false" outlineLevel="0" collapsed="false">
      <c r="A31" s="1"/>
      <c r="B31" s="1"/>
      <c r="C31" s="1"/>
      <c r="D31" s="1"/>
      <c r="E31" s="334"/>
      <c r="F31" s="335"/>
      <c r="G31" s="1"/>
      <c r="H31" s="1"/>
      <c r="I31" s="1"/>
      <c r="J31" s="1"/>
      <c r="K31" s="1"/>
      <c r="L31" s="336"/>
      <c r="M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36"/>
      <c r="M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customFormat="false" ht="15.75" hidden="true" customHeight="false" outlineLevel="0" collapsed="false">
      <c r="A34" s="1"/>
      <c r="B34" s="1"/>
      <c r="C34" s="1"/>
      <c r="D34" s="1"/>
      <c r="E34" s="1"/>
      <c r="F34" s="1"/>
      <c r="G34" s="337" t="s">
        <v>147</v>
      </c>
      <c r="H34" s="1"/>
      <c r="I34" s="1"/>
      <c r="J34" s="338" t="s">
        <v>148</v>
      </c>
      <c r="K34" s="1"/>
      <c r="L34" s="339" t="s">
        <v>149</v>
      </c>
      <c r="M34" s="1"/>
    </row>
    <row r="35" customFormat="false" ht="15.75" hidden="true" customHeight="false" outlineLevel="0" collapsed="false">
      <c r="A35" s="1"/>
      <c r="B35" s="1"/>
      <c r="C35" s="1"/>
      <c r="D35" s="340" t="s">
        <v>150</v>
      </c>
      <c r="E35" s="1"/>
      <c r="F35" s="1"/>
      <c r="G35" s="341" t="n">
        <f aca="false">+L35-J35</f>
        <v>261113005.12</v>
      </c>
      <c r="H35" s="1"/>
      <c r="I35" s="1"/>
      <c r="J35" s="341" t="n">
        <v>0</v>
      </c>
      <c r="K35" s="1"/>
      <c r="L35" s="341" t="n">
        <f aca="false">+'PG&amp;E Corp. '!S15</f>
        <v>261113005.12</v>
      </c>
      <c r="M35" s="1"/>
    </row>
    <row r="36" customFormat="false" ht="15.75" hidden="true" customHeight="false" outlineLevel="0" collapsed="false">
      <c r="A36" s="1"/>
      <c r="B36" s="1"/>
      <c r="C36" s="1"/>
      <c r="D36" s="340" t="s">
        <v>151</v>
      </c>
      <c r="E36" s="1"/>
      <c r="F36" s="1"/>
      <c r="G36" s="341" t="n">
        <f aca="false">+L36-J36</f>
        <v>76659495</v>
      </c>
      <c r="H36" s="1"/>
      <c r="I36" s="1"/>
      <c r="J36" s="341" t="n">
        <v>0</v>
      </c>
      <c r="K36" s="1"/>
      <c r="L36" s="341" t="n">
        <f aca="false">+'PG&amp;E Corp. '!S21+'PG&amp;E Corp. '!S33+'PG&amp;E Corp. '!S39+'PG&amp;E Corp. '!S46</f>
        <v>76659495</v>
      </c>
      <c r="M36" s="1"/>
    </row>
    <row r="37" customFormat="false" ht="15.75" hidden="true" customHeight="false" outlineLevel="0" collapsed="false">
      <c r="A37" s="1"/>
      <c r="B37" s="1"/>
      <c r="C37" s="1"/>
      <c r="D37" s="340" t="s">
        <v>152</v>
      </c>
      <c r="E37" s="1"/>
      <c r="F37" s="1"/>
      <c r="G37" s="341" t="n">
        <f aca="false">+L37-J37</f>
        <v>76545752</v>
      </c>
      <c r="H37" s="1"/>
      <c r="I37" s="1"/>
      <c r="J37" s="341" t="n">
        <v>0</v>
      </c>
      <c r="K37" s="1"/>
      <c r="L37" s="341" t="n">
        <f aca="false">+'PG&amp;E Corp. '!Q54</f>
        <v>76545752</v>
      </c>
      <c r="M37" s="1"/>
    </row>
    <row r="38" customFormat="false" ht="15.75" hidden="true" customHeight="false" outlineLevel="0" collapsed="false">
      <c r="A38" s="1"/>
      <c r="B38" s="1"/>
      <c r="C38" s="1"/>
      <c r="D38" s="340" t="s">
        <v>153</v>
      </c>
      <c r="E38" s="1"/>
      <c r="F38" s="1"/>
      <c r="G38" s="341" t="n">
        <f aca="false">+L38-J38</f>
        <v>114938662.13</v>
      </c>
      <c r="H38" s="1"/>
      <c r="I38" s="1"/>
      <c r="J38" s="341" t="n">
        <f aca="false">+'Edison Int''l '!Q8</f>
        <v>52666000</v>
      </c>
      <c r="K38" s="1"/>
      <c r="L38" s="341" t="n">
        <f aca="false">+'Edison Int''l '!S12</f>
        <v>167604662.13</v>
      </c>
      <c r="M38" s="1"/>
    </row>
    <row r="39" customFormat="false" ht="15.75" hidden="true" customHeight="false" outlineLevel="0" collapsed="false">
      <c r="A39" s="1"/>
      <c r="B39" s="1"/>
      <c r="C39" s="1"/>
      <c r="D39" s="340" t="s">
        <v>154</v>
      </c>
      <c r="E39" s="1"/>
      <c r="F39" s="1"/>
      <c r="G39" s="341" t="n">
        <f aca="false">+L39-J39</f>
        <v>21627588</v>
      </c>
      <c r="H39" s="1"/>
      <c r="I39" s="1"/>
      <c r="J39" s="341" t="n">
        <v>0</v>
      </c>
      <c r="K39" s="1"/>
      <c r="L39" s="342" t="n">
        <f aca="false">+'Edison Int''l '!Q25</f>
        <v>21627588</v>
      </c>
      <c r="M39" s="1"/>
    </row>
    <row r="40" customFormat="false" ht="17.25" hidden="true" customHeight="false" outlineLevel="0" collapsed="false">
      <c r="A40" s="1"/>
      <c r="B40" s="1"/>
      <c r="C40" s="1"/>
      <c r="D40" s="340" t="s">
        <v>155</v>
      </c>
      <c r="E40" s="1"/>
      <c r="F40" s="1"/>
      <c r="G40" s="343" t="n">
        <f aca="false">SUM(G35:G39)</f>
        <v>550884502.25</v>
      </c>
      <c r="H40" s="1"/>
      <c r="I40" s="1"/>
      <c r="J40" s="343" t="n">
        <f aca="false">SUM(J35:J39)</f>
        <v>52666000</v>
      </c>
      <c r="K40" s="1"/>
      <c r="L40" s="343" t="n">
        <f aca="false">SUM(L35:L39)</f>
        <v>603550502.25</v>
      </c>
      <c r="M40" s="1"/>
    </row>
    <row r="41" customFormat="false" ht="15.75" hidden="true" customHeight="false" outlineLevel="0" collapsed="false">
      <c r="A41" s="1"/>
      <c r="B41" s="1"/>
      <c r="C41" s="1"/>
      <c r="D41" s="340"/>
      <c r="E41" s="1"/>
      <c r="F41" s="1"/>
      <c r="G41" s="341"/>
      <c r="H41" s="1"/>
      <c r="I41" s="1"/>
      <c r="J41" s="341"/>
      <c r="K41" s="1"/>
      <c r="L41" s="341"/>
      <c r="M41" s="1"/>
    </row>
    <row r="42" customFormat="false" ht="15.75" hidden="true" customHeight="false" outlineLevel="0" collapsed="false">
      <c r="A42" s="1"/>
      <c r="B42" s="1"/>
      <c r="C42" s="1"/>
      <c r="D42" s="340" t="s">
        <v>116</v>
      </c>
      <c r="E42" s="1"/>
      <c r="F42" s="1"/>
      <c r="G42" s="341" t="n">
        <f aca="false">+L42-J42</f>
        <v>41504394</v>
      </c>
      <c r="H42" s="1"/>
      <c r="I42" s="1"/>
      <c r="J42" s="341" t="n">
        <f aca="false">SUM(J10:J12)</f>
        <v>64202506.78</v>
      </c>
      <c r="K42" s="1"/>
      <c r="L42" s="341" t="n">
        <f aca="false">+J14</f>
        <v>105706900.78</v>
      </c>
      <c r="M42" s="1"/>
    </row>
    <row r="43" customFormat="false" ht="15.75" hidden="true" customHeight="false" outlineLevel="0" collapsed="false">
      <c r="A43" s="1"/>
      <c r="B43" s="1"/>
      <c r="C43" s="1"/>
      <c r="D43" s="340" t="s">
        <v>156</v>
      </c>
      <c r="E43" s="1"/>
      <c r="F43" s="1"/>
      <c r="G43" s="341" t="n">
        <f aca="false">+L43-J43</f>
        <v>15705169.52</v>
      </c>
      <c r="H43" s="1"/>
      <c r="I43" s="1"/>
      <c r="J43" s="341" t="n">
        <f aca="false">+J27</f>
        <v>1545335.24</v>
      </c>
      <c r="K43" s="1"/>
      <c r="L43" s="341" t="n">
        <f aca="false">+J29</f>
        <v>17250504.76</v>
      </c>
      <c r="M43" s="1"/>
    </row>
    <row r="44" customFormat="false" ht="17.25" hidden="true" customHeight="false" outlineLevel="0" collapsed="false">
      <c r="A44" s="1"/>
      <c r="B44" s="1"/>
      <c r="C44" s="1"/>
      <c r="D44" s="340" t="s">
        <v>155</v>
      </c>
      <c r="E44" s="1"/>
      <c r="F44" s="1"/>
      <c r="G44" s="343" t="n">
        <f aca="false">+G42+G43</f>
        <v>57209563.52</v>
      </c>
      <c r="H44" s="1"/>
      <c r="I44" s="1"/>
      <c r="J44" s="343" t="n">
        <f aca="false">+J42+J43</f>
        <v>65747842.02</v>
      </c>
      <c r="K44" s="1"/>
      <c r="L44" s="343" t="n">
        <f aca="false">+L42+L43</f>
        <v>122957405.54</v>
      </c>
      <c r="M44" s="1"/>
    </row>
    <row r="45" customFormat="false" ht="15.75" hidden="true" customHeight="false" outlineLevel="0" collapsed="false">
      <c r="A45" s="1"/>
      <c r="B45" s="1"/>
      <c r="C45" s="1"/>
      <c r="D45" s="1"/>
      <c r="E45" s="1"/>
      <c r="F45" s="1"/>
      <c r="G45" s="344"/>
      <c r="H45" s="1"/>
      <c r="I45" s="1"/>
      <c r="J45" s="344"/>
      <c r="K45" s="1"/>
      <c r="L45" s="344"/>
      <c r="M45" s="1"/>
    </row>
    <row r="46" customFormat="false" ht="15.75" hidden="true" customHeight="false" outlineLevel="0" collapsed="false">
      <c r="A46" s="1"/>
      <c r="B46" s="1"/>
      <c r="C46" s="1"/>
      <c r="D46" s="1"/>
      <c r="E46" s="1"/>
      <c r="F46" s="1"/>
      <c r="G46" s="195"/>
      <c r="H46" s="1"/>
      <c r="I46" s="1"/>
      <c r="J46" s="345"/>
      <c r="K46" s="1"/>
      <c r="L46" s="346"/>
      <c r="M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</sheetData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4.85"/>
    <col collapsed="false" customWidth="true" hidden="false" outlineLevel="0" max="3" min="3" style="0" width="3.7"/>
    <col collapsed="false" customWidth="true" hidden="false" outlineLevel="0" max="4" min="4" style="0" width="16.99"/>
    <col collapsed="false" customWidth="true" hidden="false" outlineLevel="0" max="5" min="5" style="0" width="16.42"/>
    <col collapsed="false" customWidth="true" hidden="false" outlineLevel="0" max="6" min="6" style="0" width="16.28"/>
    <col collapsed="false" customWidth="true" hidden="false" outlineLevel="0" max="7" min="7" style="0" width="17.56"/>
    <col collapsed="false" customWidth="true" hidden="false" outlineLevel="0" max="8" min="8" style="0" width="19.7"/>
    <col collapsed="false" customWidth="true" hidden="false" outlineLevel="0" max="9" min="9" style="0" width="5.99"/>
    <col collapsed="false" customWidth="true" hidden="false" outlineLevel="0" max="10" min="10" style="0" width="16.28"/>
    <col collapsed="false" customWidth="true" hidden="false" outlineLevel="0" max="11" min="11" style="0" width="20.85"/>
  </cols>
  <sheetData>
    <row r="1" customFormat="false" ht="30" hidden="false" customHeight="false" outlineLevel="0" collapsed="false">
      <c r="A1" s="347" t="s">
        <v>157</v>
      </c>
      <c r="B1" s="347"/>
      <c r="C1" s="347"/>
      <c r="D1" s="347"/>
      <c r="E1" s="347"/>
      <c r="F1" s="347"/>
      <c r="G1" s="347"/>
      <c r="H1" s="347"/>
      <c r="I1" s="347"/>
    </row>
    <row r="2" customFormat="false" ht="23.25" hidden="false" customHeight="false" outlineLevel="0" collapsed="false">
      <c r="A2" s="348" t="s">
        <v>158</v>
      </c>
      <c r="B2" s="348"/>
      <c r="C2" s="348"/>
      <c r="D2" s="348"/>
      <c r="E2" s="348"/>
      <c r="F2" s="348"/>
      <c r="G2" s="348"/>
      <c r="H2" s="348"/>
      <c r="I2" s="348"/>
    </row>
    <row r="5" customFormat="false" ht="15.75" hidden="false" customHeight="false" outlineLevel="0" collapsed="false">
      <c r="A5" s="19" t="s">
        <v>16</v>
      </c>
      <c r="B5" s="349" t="s">
        <v>28</v>
      </c>
      <c r="C5" s="349"/>
      <c r="D5" s="349" t="s">
        <v>31</v>
      </c>
      <c r="E5" s="349" t="s">
        <v>48</v>
      </c>
      <c r="F5" s="349" t="s">
        <v>159</v>
      </c>
      <c r="G5" s="349" t="s">
        <v>85</v>
      </c>
      <c r="H5" s="16" t="s">
        <v>160</v>
      </c>
      <c r="I5" s="16"/>
      <c r="J5" s="16"/>
      <c r="K5" s="16"/>
      <c r="M5" s="16"/>
      <c r="N5" s="15"/>
    </row>
    <row r="6" customFormat="false" ht="13.5" hidden="false" customHeight="false" outlineLevel="0" collapsed="false">
      <c r="J6" s="350"/>
      <c r="K6" s="350"/>
    </row>
    <row r="7" customFormat="false" ht="15.75" hidden="false" customHeight="false" outlineLevel="0" collapsed="false">
      <c r="A7" s="351" t="s">
        <v>161</v>
      </c>
      <c r="B7" s="352" t="n">
        <f aca="false">+'PG&amp;E Corp. '!Q8+'PG&amp;E Corp. '!Q9++'PG&amp;E Corp. '!R9+'PG&amp;E Corp. '!Q10+'PG&amp;E Corp. '!R10</f>
        <v>-64234796.8</v>
      </c>
      <c r="C7" s="352"/>
      <c r="D7" s="352" t="n">
        <f aca="false">+'PG&amp;E Corp. '!Q11+'PG&amp;E Corp. '!Q12+'PG&amp;E Corp. '!Q13+'PG&amp;E Corp. '!R13</f>
        <v>324900000</v>
      </c>
      <c r="E7" s="352"/>
      <c r="F7" s="352" t="n">
        <f aca="false">+'PG&amp;E Corp. '!Q14</f>
        <v>447801.92</v>
      </c>
      <c r="G7" s="353"/>
      <c r="H7" s="352" t="n">
        <f aca="false">SUM(B7:G7)</f>
        <v>261113005.12</v>
      </c>
      <c r="I7" s="354"/>
      <c r="J7" s="350" t="n">
        <f aca="false">+H7+H8</f>
        <v>515133087.12</v>
      </c>
      <c r="K7" s="355"/>
    </row>
    <row r="8" customFormat="false" ht="12.75" hidden="false" customHeight="false" outlineLevel="0" collapsed="false">
      <c r="A8" s="356" t="s">
        <v>162</v>
      </c>
      <c r="B8" s="357" t="n">
        <f aca="false">+'PG&amp;E Corp. '!S21-'PG&amp;E Corp. '!Q20+'PG&amp;E Corp. '!S29-'PG&amp;E Corp. '!Q27+'PG&amp;E Corp. '!S33-'PG&amp;E Corp. '!Q31+'PG&amp;E Corp. '!S39+'PG&amp;E Corp. '!S46-'PG&amp;E Corp. '!Q45+'PG&amp;E Corp. '!S55</f>
        <v>221437631</v>
      </c>
      <c r="C8" s="357" t="s">
        <v>38</v>
      </c>
      <c r="D8" s="357" t="n">
        <f aca="false">+'PG&amp;E Corp. '!Q20+'PG&amp;E Corp. '!Q27+'PG&amp;E Corp. '!Q31+'PG&amp;E Corp. '!Q45</f>
        <v>32582451</v>
      </c>
      <c r="E8" s="357" t="n">
        <v>0</v>
      </c>
      <c r="F8" s="358"/>
      <c r="G8" s="358"/>
      <c r="H8" s="357" t="n">
        <f aca="false">SUM(B8:G8)</f>
        <v>254020082</v>
      </c>
      <c r="I8" s="359"/>
      <c r="J8" s="350"/>
      <c r="K8" s="360"/>
    </row>
    <row r="9" customFormat="false" ht="12.75" hidden="false" customHeight="false" outlineLevel="0" collapsed="false">
      <c r="A9" s="356" t="s">
        <v>163</v>
      </c>
      <c r="B9" s="357" t="n">
        <f aca="false">+'Edison Int''l '!R7</f>
        <v>-66082769</v>
      </c>
      <c r="C9" s="357"/>
      <c r="D9" s="357" t="n">
        <f aca="false">+'Edison Int''l '!Q9+'Edison Int''l '!Q10</f>
        <v>140000000</v>
      </c>
      <c r="E9" s="358"/>
      <c r="F9" s="357" t="n">
        <f aca="false">+'Edison Int''l '!Q11</f>
        <v>41021431.13</v>
      </c>
      <c r="G9" s="357" t="n">
        <f aca="false">+'Edison Int''l '!Q8</f>
        <v>52666000</v>
      </c>
      <c r="H9" s="357" t="n">
        <f aca="false">SUM(B9:G9)</f>
        <v>167604662.13</v>
      </c>
      <c r="I9" s="359"/>
      <c r="J9" s="350"/>
    </row>
    <row r="10" customFormat="false" ht="12.75" hidden="false" customHeight="false" outlineLevel="0" collapsed="false">
      <c r="A10" s="356" t="s">
        <v>164</v>
      </c>
      <c r="B10" s="357" t="n">
        <f aca="false">+'Edison Int''l '!S26-'Edison Int''l '!Q19-'Edison Int''l '!Q17-'Edison Int''l '!Q16</f>
        <v>21627588</v>
      </c>
      <c r="C10" s="357"/>
      <c r="D10" s="358"/>
      <c r="E10" s="357" t="n">
        <f aca="false">+'Edison Int''l '!S26-'Edison Int''l '!Q23-'Edison Int''l '!Q22-'Edison Int''l '!Q18</f>
        <v>0</v>
      </c>
      <c r="F10" s="358"/>
      <c r="G10" s="358"/>
      <c r="H10" s="357" t="n">
        <f aca="false">SUM(B10:G10)</f>
        <v>21627588</v>
      </c>
      <c r="I10" s="359"/>
    </row>
    <row r="11" customFormat="false" ht="12.75" hidden="false" customHeight="false" outlineLevel="0" collapsed="false">
      <c r="A11" s="356" t="s">
        <v>116</v>
      </c>
      <c r="B11" s="357" t="n">
        <f aca="false">+'Px - ISO '!J7+'Px - ISO '!J8+'Px - ISO '!J9</f>
        <v>41504394</v>
      </c>
      <c r="C11" s="357"/>
      <c r="D11" s="358"/>
      <c r="E11" s="358"/>
      <c r="F11" s="358"/>
      <c r="G11" s="357" t="n">
        <f aca="false">+'Px - ISO '!J10+'Px - ISO '!J11+'Px - ISO '!J12</f>
        <v>64202506.78</v>
      </c>
      <c r="H11" s="357" t="n">
        <f aca="false">SUM(B11:G11)</f>
        <v>105706900.78</v>
      </c>
      <c r="I11" s="359"/>
      <c r="J11" s="350"/>
    </row>
    <row r="12" customFormat="false" ht="12.75" hidden="false" customHeight="false" outlineLevel="0" collapsed="false">
      <c r="A12" s="356" t="s">
        <v>165</v>
      </c>
      <c r="B12" s="361" t="n">
        <f aca="false">+'Px - ISO '!J20+'Px - ISO '!J21+'Px - ISO '!J22+'Px - ISO '!J23+'Px - ISO '!J24+'Px - ISO '!J25+'Px - ISO '!J26</f>
        <v>8081693.52</v>
      </c>
      <c r="C12" s="361"/>
      <c r="D12" s="362"/>
      <c r="E12" s="362"/>
      <c r="F12" s="362"/>
      <c r="G12" s="361" t="n">
        <f aca="false">+'Px - ISO '!J27+'Px - ISO '!J28</f>
        <v>9168811.24</v>
      </c>
      <c r="H12" s="361" t="n">
        <f aca="false">SUM(B12:G12)</f>
        <v>17250504.76</v>
      </c>
      <c r="I12" s="359"/>
    </row>
    <row r="13" customFormat="false" ht="12.75" hidden="false" customHeight="false" outlineLevel="0" collapsed="false">
      <c r="A13" s="356" t="s">
        <v>166</v>
      </c>
      <c r="B13" s="357" t="n">
        <f aca="false">SUM(B7:B12)</f>
        <v>162333740.72</v>
      </c>
      <c r="C13" s="357"/>
      <c r="D13" s="357" t="n">
        <f aca="false">SUM(D7:D12)</f>
        <v>497482451</v>
      </c>
      <c r="E13" s="357" t="n">
        <f aca="false">SUM(E7:E12)</f>
        <v>0</v>
      </c>
      <c r="F13" s="357" t="n">
        <f aca="false">SUM(F7:F12)</f>
        <v>41469233.05</v>
      </c>
      <c r="G13" s="357" t="n">
        <f aca="false">SUM(G7:G12)</f>
        <v>126037318.02</v>
      </c>
      <c r="H13" s="357"/>
      <c r="I13" s="359"/>
    </row>
    <row r="14" customFormat="false" ht="13.5" hidden="false" customHeight="false" outlineLevel="0" collapsed="false">
      <c r="A14" s="356"/>
      <c r="B14" s="357"/>
      <c r="C14" s="357"/>
      <c r="D14" s="357"/>
      <c r="E14" s="357"/>
      <c r="F14" s="357"/>
      <c r="G14" s="357"/>
      <c r="H14" s="363"/>
      <c r="I14" s="359"/>
    </row>
    <row r="15" customFormat="false" ht="14.25" hidden="false" customHeight="false" outlineLevel="0" collapsed="false">
      <c r="A15" s="356" t="s">
        <v>167</v>
      </c>
      <c r="B15" s="358"/>
      <c r="C15" s="358"/>
      <c r="D15" s="358"/>
      <c r="E15" s="358"/>
      <c r="F15" s="358"/>
      <c r="G15" s="358"/>
      <c r="H15" s="364" t="n">
        <f aca="false">SUM(H7:H12)</f>
        <v>827322742.79</v>
      </c>
      <c r="I15" s="359" t="s">
        <v>168</v>
      </c>
      <c r="J15" s="350" t="n">
        <f aca="false">+'PG&amp;E Corp. '!S64+'Edison Int''l '!U31+'Px - ISO '!J14+'Px - ISO '!J29</f>
        <v>763113755.99</v>
      </c>
    </row>
    <row r="16" customFormat="false" ht="14.25" hidden="false" customHeight="false" outlineLevel="0" collapsed="false">
      <c r="A16" s="365"/>
      <c r="B16" s="366"/>
      <c r="C16" s="366"/>
      <c r="D16" s="366"/>
      <c r="E16" s="366"/>
      <c r="F16" s="366"/>
      <c r="G16" s="366"/>
      <c r="H16" s="366"/>
      <c r="I16" s="367"/>
    </row>
    <row r="17" customFormat="false" ht="12.75" hidden="false" customHeight="false" outlineLevel="0" collapsed="false">
      <c r="A17" s="0" t="s">
        <v>169</v>
      </c>
      <c r="H17" s="350"/>
    </row>
    <row r="18" customFormat="false" ht="12.75" hidden="false" customHeight="false" outlineLevel="0" collapsed="false">
      <c r="A18" s="0" t="s">
        <v>170</v>
      </c>
      <c r="H18" s="350"/>
    </row>
    <row r="19" customFormat="false" ht="12.75" hidden="false" customHeight="false" outlineLevel="0" collapsed="false">
      <c r="A19" s="0" t="s">
        <v>171</v>
      </c>
      <c r="H19" s="350"/>
    </row>
    <row r="20" customFormat="false" ht="12.75" hidden="false" customHeight="false" outlineLevel="0" collapsed="false">
      <c r="A20" s="0" t="s">
        <v>172</v>
      </c>
      <c r="H20" s="350"/>
    </row>
    <row r="21" customFormat="false" ht="12.75" hidden="false" customHeight="false" outlineLevel="0" collapsed="false">
      <c r="A21" s="0" t="s">
        <v>173</v>
      </c>
      <c r="H21" s="350"/>
    </row>
    <row r="23" customFormat="false" ht="12.75" hidden="false" customHeight="false" outlineLevel="0" collapsed="false">
      <c r="H23" s="350"/>
    </row>
    <row r="25" customFormat="false" ht="12.75" hidden="false" customHeight="false" outlineLevel="0" collapsed="false">
      <c r="B25" s="350"/>
      <c r="H25" s="350"/>
    </row>
    <row r="30" customFormat="false" ht="12.75" hidden="false" customHeight="false" outlineLevel="0" collapsed="false">
      <c r="G30" s="0" t="s">
        <v>174</v>
      </c>
      <c r="H30" s="368" t="n">
        <f aca="false">+'PG&amp;E Corp. '!S62+'Edison Int''l '!S31+'Px - ISO '!J14+'Px - ISO '!J29</f>
        <v>827322742.79</v>
      </c>
    </row>
    <row r="32" customFormat="false" ht="12.75" hidden="false" customHeight="false" outlineLevel="0" collapsed="false">
      <c r="H32" s="350" t="n">
        <f aca="false">+H15-H30</f>
        <v>0</v>
      </c>
      <c r="J32" s="350"/>
    </row>
  </sheetData>
  <mergeCells count="2">
    <mergeCell ref="A1:I1"/>
    <mergeCell ref="A2:I2"/>
  </mergeCells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416"/>
  <sheetViews>
    <sheetView showFormulas="false" showGridLines="true" showRowColHeaders="true" showZeros="true" rightToLeft="false" tabSelected="false" showOutlineSymbols="true" defaultGridColor="true" view="normal" topLeftCell="A50" colorId="64" zoomScale="75" zoomScaleNormal="75" zoomScalePageLayoutView="100" workbookViewId="0">
      <selection pane="topLeft" activeCell="C74" activeCellId="0" sqref="C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2" min="2" style="0" width="21.28"/>
    <col collapsed="false" customWidth="true" hidden="false" outlineLevel="0" max="3" min="3" style="0" width="28.56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19.85"/>
    <col collapsed="false" customWidth="true" hidden="false" outlineLevel="0" max="7" min="7" style="0" width="19.28"/>
    <col collapsed="false" customWidth="true" hidden="true" outlineLevel="0" max="8" min="8" style="0" width="20.41"/>
    <col collapsed="false" customWidth="true" hidden="false" outlineLevel="0" max="9" min="9" style="0" width="18.7"/>
    <col collapsed="false" customWidth="true" hidden="false" outlineLevel="0" max="10" min="10" style="0" width="22.7"/>
    <col collapsed="false" customWidth="true" hidden="false" outlineLevel="0" max="11" min="11" style="0" width="16.99"/>
  </cols>
  <sheetData>
    <row r="1" customFormat="false" ht="20.25" hidden="false" customHeight="false" outlineLevel="0" collapsed="false">
      <c r="A1" s="199" t="s">
        <v>0</v>
      </c>
    </row>
    <row r="2" customFormat="false" ht="18" hidden="false" customHeight="false" outlineLevel="0" collapsed="false">
      <c r="A2" s="6" t="s">
        <v>175</v>
      </c>
      <c r="B2" s="7" t="n">
        <f aca="false">+'PG&amp;E Corp. '!B2</f>
        <v>36963</v>
      </c>
    </row>
    <row r="3" customFormat="false" ht="12.75" hidden="false" customHeight="false" outlineLevel="0" collapsed="false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2"/>
      <c r="L3" s="203"/>
    </row>
    <row r="4" customFormat="false" ht="15" hidden="false" customHeight="true" outlineLevel="0" collapsed="false">
      <c r="A4" s="16"/>
      <c r="B4" s="16"/>
      <c r="C4" s="16" t="s">
        <v>6</v>
      </c>
      <c r="D4" s="16" t="s">
        <v>7</v>
      </c>
      <c r="E4" s="16" t="s">
        <v>8</v>
      </c>
      <c r="F4" s="16" t="s">
        <v>9</v>
      </c>
      <c r="G4" s="16"/>
      <c r="H4" s="16" t="s">
        <v>12</v>
      </c>
      <c r="I4" s="16" t="s">
        <v>14</v>
      </c>
      <c r="J4" s="16" t="s">
        <v>15</v>
      </c>
      <c r="K4" s="16"/>
      <c r="L4" s="203"/>
    </row>
    <row r="5" customFormat="false" ht="15" hidden="false" customHeight="true" outlineLevel="0" collapsed="false">
      <c r="A5" s="19" t="s">
        <v>16</v>
      </c>
      <c r="B5" s="19" t="s">
        <v>17</v>
      </c>
      <c r="C5" s="16" t="s">
        <v>19</v>
      </c>
      <c r="D5" s="16" t="s">
        <v>19</v>
      </c>
      <c r="E5" s="16" t="s">
        <v>20</v>
      </c>
      <c r="F5" s="16" t="s">
        <v>21</v>
      </c>
      <c r="G5" s="16" t="s">
        <v>22</v>
      </c>
      <c r="H5" s="16" t="s">
        <v>23</v>
      </c>
      <c r="I5" s="16" t="s">
        <v>24</v>
      </c>
      <c r="J5" s="16" t="s">
        <v>25</v>
      </c>
      <c r="K5" s="16"/>
      <c r="L5" s="203"/>
    </row>
    <row r="6" customFormat="false" ht="18.75" hidden="false" customHeight="true" outlineLevel="0" collapsed="false">
      <c r="A6" s="369" t="s">
        <v>52</v>
      </c>
      <c r="B6" s="369" t="s">
        <v>33</v>
      </c>
      <c r="C6" s="370" t="n">
        <f aca="false">+'PG&amp;E Corp. '!D31</f>
        <v>0</v>
      </c>
      <c r="D6" s="370" t="n">
        <f aca="false">+'PG&amp;E Corp. '!E31</f>
        <v>0</v>
      </c>
      <c r="E6" s="370" t="n">
        <f aca="false">+'PG&amp;E Corp. '!F31</f>
        <v>0</v>
      </c>
      <c r="F6" s="370" t="n">
        <f aca="false">+'PG&amp;E Corp. '!G31</f>
        <v>0</v>
      </c>
      <c r="G6" s="370" t="n">
        <f aca="false">+'PG&amp;E Corp. '!L31</f>
        <v>0</v>
      </c>
      <c r="H6" s="370" t="n">
        <f aca="false">+'PG&amp;E Corp. '!M31</f>
        <v>0</v>
      </c>
      <c r="I6" s="370" t="n">
        <f aca="false">+'PG&amp;E Corp. '!Q31</f>
        <v>0</v>
      </c>
      <c r="J6" s="370" t="n">
        <f aca="false">+'PG&amp;E Corp. '!R31</f>
        <v>0</v>
      </c>
      <c r="K6" s="68"/>
      <c r="L6" s="68"/>
      <c r="M6" s="371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2"/>
      <c r="BK6" s="372"/>
      <c r="BL6" s="372"/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</row>
    <row r="7" customFormat="false" ht="21.75" hidden="false" customHeight="true" outlineLevel="0" collapsed="false">
      <c r="A7" s="373" t="s">
        <v>26</v>
      </c>
      <c r="B7" s="373" t="s">
        <v>62</v>
      </c>
      <c r="C7" s="374" t="n">
        <f aca="false">+'PG&amp;E Corp. '!D11+'PG&amp;E Corp. '!D12</f>
        <v>0</v>
      </c>
      <c r="D7" s="374" t="n">
        <f aca="false">+'PG&amp;E Corp. '!E11+'PG&amp;E Corp. '!E12</f>
        <v>0</v>
      </c>
      <c r="E7" s="374" t="n">
        <f aca="false">+'PG&amp;E Corp. '!F11+'PG&amp;E Corp. '!F12</f>
        <v>325000000</v>
      </c>
      <c r="F7" s="374" t="n">
        <f aca="false">+'PG&amp;E Corp. '!G11+'PG&amp;E Corp. '!G12</f>
        <v>0</v>
      </c>
      <c r="G7" s="374" t="n">
        <f aca="false">+'PG&amp;E Corp. '!L11+'PG&amp;E Corp. '!L12</f>
        <v>325000000</v>
      </c>
      <c r="H7" s="374" t="n">
        <f aca="false">+'PG&amp;E Corp. '!M11+'PG&amp;E Corp. '!M12</f>
        <v>0</v>
      </c>
      <c r="I7" s="374" t="n">
        <f aca="false">+'PG&amp;E Corp. '!Q11+'PG&amp;E Corp. '!Q12</f>
        <v>325000000</v>
      </c>
      <c r="J7" s="374" t="n">
        <f aca="false">+'PG&amp;E Corp. '!R11+'PG&amp;E Corp. '!R12</f>
        <v>0</v>
      </c>
      <c r="K7" s="85"/>
      <c r="L7" s="85"/>
      <c r="M7" s="375"/>
    </row>
    <row r="8" customFormat="false" ht="15" hidden="false" customHeight="true" outlineLevel="0" collapsed="false">
      <c r="A8" s="2" t="s">
        <v>61</v>
      </c>
      <c r="B8" s="2" t="s">
        <v>62</v>
      </c>
      <c r="C8" s="376" t="n">
        <f aca="false">+'PG&amp;E Corp. '!D45</f>
        <v>0</v>
      </c>
      <c r="D8" s="376" t="n">
        <f aca="false">+'PG&amp;E Corp. '!E45</f>
        <v>-161301</v>
      </c>
      <c r="E8" s="376" t="n">
        <f aca="false">+'PG&amp;E Corp. '!F45</f>
        <v>1509038</v>
      </c>
      <c r="F8" s="376" t="n">
        <f aca="false">+'PG&amp;E Corp. '!G45</f>
        <v>-2643383</v>
      </c>
      <c r="G8" s="376" t="n">
        <f aca="false">+'PG&amp;E Corp. '!L45</f>
        <v>-1134345</v>
      </c>
      <c r="H8" s="376" t="n">
        <f aca="false">+'PG&amp;E Corp. '!M45</f>
        <v>0</v>
      </c>
      <c r="I8" s="64" t="n">
        <f aca="false">+'PG&amp;E Corp. '!Q45</f>
        <v>0</v>
      </c>
      <c r="J8" s="64" t="n">
        <f aca="false">+'PG&amp;E Corp. '!R45</f>
        <v>-1295646</v>
      </c>
      <c r="K8" s="68"/>
      <c r="L8" s="68"/>
      <c r="M8" s="371"/>
    </row>
    <row r="9" customFormat="false" ht="15" hidden="false" customHeight="true" outlineLevel="0" collapsed="false">
      <c r="A9" s="86" t="s">
        <v>176</v>
      </c>
      <c r="B9" s="373" t="s">
        <v>62</v>
      </c>
      <c r="C9" s="80" t="n">
        <f aca="false">+'Edison Int''l '!D9+'Edison Int''l '!D10</f>
        <v>0</v>
      </c>
      <c r="D9" s="80" t="n">
        <f aca="false">+'Edison Int''l '!E9+'Edison Int''l '!E10</f>
        <v>0</v>
      </c>
      <c r="E9" s="80" t="n">
        <f aca="false">+'Edison Int''l '!F9+'Edison Int''l '!F10</f>
        <v>140000000</v>
      </c>
      <c r="F9" s="80" t="n">
        <f aca="false">+'Edison Int''l '!G9+'Edison Int''l '!G10</f>
        <v>0</v>
      </c>
      <c r="G9" s="80" t="n">
        <f aca="false">+'Edison Int''l '!L9+'Edison Int''l '!L10</f>
        <v>140000000</v>
      </c>
      <c r="H9" s="80" t="n">
        <f aca="false">+'Edison Int''l '!M9+'Edison Int''l '!M10</f>
        <v>0</v>
      </c>
      <c r="I9" s="377" t="n">
        <f aca="false">+'Edison Int''l '!Q9+'Edison Int''l '!Q10</f>
        <v>140000000</v>
      </c>
      <c r="J9" s="377" t="n">
        <f aca="false">+'Edison Int''l '!R9+'Edison Int''l '!R10</f>
        <v>0</v>
      </c>
      <c r="K9" s="85"/>
      <c r="L9" s="85"/>
      <c r="M9" s="375"/>
    </row>
    <row r="10" customFormat="false" ht="15" hidden="false" customHeight="true" outlineLevel="0" collapsed="false">
      <c r="A10" s="9" t="s">
        <v>177</v>
      </c>
      <c r="B10" s="9"/>
      <c r="C10" s="378"/>
      <c r="D10" s="378"/>
      <c r="E10" s="65"/>
      <c r="F10" s="65"/>
      <c r="G10" s="65"/>
      <c r="H10" s="378"/>
      <c r="I10" s="378" t="n">
        <f aca="false">SUM(I6:I9)</f>
        <v>465000000</v>
      </c>
      <c r="J10" s="378" t="n">
        <f aca="false">SUM(J6:J9)</f>
        <v>-1295646</v>
      </c>
      <c r="K10" s="68"/>
      <c r="L10" s="68"/>
      <c r="M10" s="371"/>
    </row>
    <row r="11" customFormat="false" ht="15" hidden="false" customHeight="true" outlineLevel="0" collapsed="false">
      <c r="A11" s="9"/>
      <c r="B11" s="2"/>
      <c r="C11" s="376"/>
      <c r="D11" s="376"/>
      <c r="E11" s="64"/>
      <c r="F11" s="64"/>
      <c r="G11" s="64"/>
      <c r="H11" s="376"/>
      <c r="I11" s="376"/>
      <c r="J11" s="376"/>
      <c r="K11" s="68"/>
      <c r="L11" s="68"/>
      <c r="M11" s="371"/>
    </row>
    <row r="12" customFormat="false" ht="15" hidden="false" customHeight="true" outlineLevel="0" collapsed="false">
      <c r="A12" s="2"/>
      <c r="B12" s="2"/>
      <c r="C12" s="376"/>
      <c r="D12" s="376"/>
      <c r="E12" s="64"/>
      <c r="F12" s="64"/>
      <c r="G12" s="64"/>
      <c r="H12" s="376"/>
      <c r="I12" s="376"/>
      <c r="J12" s="68"/>
      <c r="K12" s="68"/>
      <c r="L12" s="68"/>
      <c r="M12" s="371"/>
    </row>
    <row r="13" customFormat="false" ht="15" hidden="false" customHeight="true" outlineLevel="0" collapsed="false">
      <c r="A13" s="296" t="s">
        <v>26</v>
      </c>
      <c r="B13" s="296" t="s">
        <v>178</v>
      </c>
      <c r="C13" s="379" t="n">
        <f aca="false">+'PG&amp;E Corp. '!D8</f>
        <v>0</v>
      </c>
      <c r="D13" s="379" t="n">
        <f aca="false">+'PG&amp;E Corp. '!E8</f>
        <v>-616855</v>
      </c>
      <c r="E13" s="379" t="n">
        <f aca="false">+'PG&amp;E Corp. '!F8</f>
        <v>34188190</v>
      </c>
      <c r="F13" s="379" t="n">
        <f aca="false">+'PG&amp;E Corp. '!G8</f>
        <v>-455229</v>
      </c>
      <c r="G13" s="379" t="n">
        <f aca="false">+'PG&amp;E Corp. '!L8</f>
        <v>60297770</v>
      </c>
      <c r="H13" s="379" t="n">
        <f aca="false">+'PG&amp;E Corp. '!M8</f>
        <v>70169385</v>
      </c>
      <c r="I13" s="379" t="n">
        <f aca="false">+'PG&amp;E Corp. '!Q8</f>
        <v>59680915</v>
      </c>
      <c r="J13" s="379" t="n">
        <f aca="false">+'PG&amp;E Corp. '!R8</f>
        <v>0</v>
      </c>
      <c r="K13" s="86"/>
      <c r="L13" s="86"/>
    </row>
    <row r="14" customFormat="false" ht="15" hidden="false" customHeight="true" outlineLevel="0" collapsed="false">
      <c r="A14" s="21" t="s">
        <v>39</v>
      </c>
      <c r="B14" s="21" t="s">
        <v>27</v>
      </c>
      <c r="C14" s="376" t="n">
        <f aca="false">+'PG&amp;E Corp. '!D17</f>
        <v>0</v>
      </c>
      <c r="D14" s="376" t="n">
        <f aca="false">+'PG&amp;E Corp. '!E17</f>
        <v>0</v>
      </c>
      <c r="E14" s="376" t="n">
        <f aca="false">+'PG&amp;E Corp. '!F17</f>
        <v>0</v>
      </c>
      <c r="F14" s="376" t="n">
        <f aca="false">+'PG&amp;E Corp. '!G17</f>
        <v>0</v>
      </c>
      <c r="G14" s="376" t="n">
        <f aca="false">+'PG&amp;E Corp. '!L17</f>
        <v>0</v>
      </c>
      <c r="H14" s="376" t="n">
        <f aca="false">+'PG&amp;E Corp. '!M17</f>
        <v>50460</v>
      </c>
      <c r="I14" s="376" t="n">
        <f aca="false">+'PG&amp;E Corp. '!Q17</f>
        <v>0</v>
      </c>
      <c r="J14" s="376" t="n">
        <f aca="false">+'PG&amp;E Corp. '!R17</f>
        <v>0</v>
      </c>
      <c r="K14" s="2"/>
      <c r="L14" s="2"/>
    </row>
    <row r="15" customFormat="false" ht="15" hidden="false" customHeight="true" outlineLevel="0" collapsed="false">
      <c r="A15" s="21" t="s">
        <v>56</v>
      </c>
      <c r="B15" s="21" t="s">
        <v>27</v>
      </c>
      <c r="C15" s="376" t="n">
        <f aca="false">+'PG&amp;E Corp. '!D35</f>
        <v>4888413</v>
      </c>
      <c r="D15" s="376" t="n">
        <f aca="false">+'PG&amp;E Corp. '!E35</f>
        <v>0</v>
      </c>
      <c r="E15" s="376" t="n">
        <f aca="false">+'PG&amp;E Corp. '!F35</f>
        <v>0</v>
      </c>
      <c r="F15" s="376" t="n">
        <f aca="false">+'PG&amp;E Corp. '!G35</f>
        <v>0</v>
      </c>
      <c r="G15" s="376" t="n">
        <f aca="false">+'PG&amp;E Corp. '!L35</f>
        <v>0</v>
      </c>
      <c r="H15" s="376" t="n">
        <f aca="false">+'PG&amp;E Corp. '!M35</f>
        <v>13062536</v>
      </c>
      <c r="I15" s="376" t="n">
        <f aca="false">+'PG&amp;E Corp. '!Q35</f>
        <v>4888413</v>
      </c>
      <c r="J15" s="376" t="n">
        <f aca="false">+'PG&amp;E Corp. '!R35</f>
        <v>0</v>
      </c>
      <c r="K15" s="68"/>
      <c r="L15" s="68"/>
      <c r="M15" s="371"/>
    </row>
    <row r="16" customFormat="false" ht="15" hidden="false" customHeight="true" outlineLevel="0" collapsed="false">
      <c r="A16" s="21" t="s">
        <v>56</v>
      </c>
      <c r="B16" s="21" t="s">
        <v>27</v>
      </c>
      <c r="C16" s="376" t="n">
        <f aca="false">+'PG&amp;E Corp. '!D36</f>
        <v>0</v>
      </c>
      <c r="D16" s="376" t="n">
        <f aca="false">+'PG&amp;E Corp. '!E36</f>
        <v>-34345546</v>
      </c>
      <c r="E16" s="376" t="n">
        <f aca="false">+'PG&amp;E Corp. '!F36</f>
        <v>46205153</v>
      </c>
      <c r="F16" s="376" t="n">
        <f aca="false">+'PG&amp;E Corp. '!G36</f>
        <v>-25916160</v>
      </c>
      <c r="G16" s="376" t="n">
        <f aca="false">+'PG&amp;E Corp. '!L36</f>
        <v>34766297</v>
      </c>
      <c r="H16" s="376" t="n">
        <f aca="false">+'PG&amp;E Corp. '!M36</f>
        <v>19833122</v>
      </c>
      <c r="I16" s="376" t="n">
        <f aca="false">+'PG&amp;E Corp. '!Q36</f>
        <v>420751</v>
      </c>
      <c r="J16" s="376" t="n">
        <f aca="false">+'PG&amp;E Corp. '!R36</f>
        <v>0</v>
      </c>
      <c r="K16" s="68"/>
      <c r="L16" s="68"/>
      <c r="M16" s="371"/>
    </row>
    <row r="17" customFormat="false" ht="16.5" hidden="false" customHeight="true" outlineLevel="0" collapsed="false">
      <c r="A17" s="21" t="s">
        <v>59</v>
      </c>
      <c r="B17" s="21" t="s">
        <v>27</v>
      </c>
      <c r="C17" s="376" t="n">
        <f aca="false">+'PG&amp;E Corp. '!D41</f>
        <v>0</v>
      </c>
      <c r="D17" s="376" t="n">
        <f aca="false">+'PG&amp;E Corp. '!E41</f>
        <v>83516</v>
      </c>
      <c r="E17" s="376" t="n">
        <f aca="false">+'PG&amp;E Corp. '!F41</f>
        <v>0</v>
      </c>
      <c r="F17" s="376" t="n">
        <f aca="false">+'PG&amp;E Corp. '!G41</f>
        <v>-913920</v>
      </c>
      <c r="G17" s="376" t="n">
        <f aca="false">+'PG&amp;E Corp. '!L41</f>
        <v>-1725035</v>
      </c>
      <c r="H17" s="376" t="n">
        <f aca="false">+'PG&amp;E Corp. '!M41</f>
        <v>-2501719</v>
      </c>
      <c r="I17" s="376" t="n">
        <f aca="false">+'PG&amp;E Corp. '!Q41</f>
        <v>0</v>
      </c>
      <c r="J17" s="376" t="n">
        <f aca="false">+'PG&amp;E Corp. '!R41</f>
        <v>-1641519</v>
      </c>
      <c r="K17" s="68"/>
      <c r="L17" s="68"/>
      <c r="M17" s="371"/>
    </row>
    <row r="18" customFormat="false" ht="15" hidden="false" customHeight="true" outlineLevel="0" collapsed="false">
      <c r="A18" s="380" t="s">
        <v>72</v>
      </c>
      <c r="B18" s="380" t="s">
        <v>178</v>
      </c>
      <c r="C18" s="378" t="e">
        <f aca="false">+#REF!</f>
        <v>#REF!</v>
      </c>
      <c r="D18" s="378" t="e">
        <f aca="false">+#REF!</f>
        <v>#REF!</v>
      </c>
      <c r="E18" s="378" t="e">
        <f aca="false">+#REF!</f>
        <v>#REF!</v>
      </c>
      <c r="F18" s="378" t="e">
        <f aca="false">+#REF!</f>
        <v>#REF!</v>
      </c>
      <c r="G18" s="378" t="e">
        <f aca="false">+#REF!</f>
        <v>#REF!</v>
      </c>
      <c r="H18" s="378" t="e">
        <f aca="false">+#REF!</f>
        <v>#REF!</v>
      </c>
      <c r="I18" s="381" t="e">
        <f aca="false">+#REF!</f>
        <v>#REF!</v>
      </c>
      <c r="J18" s="381" t="e">
        <f aca="false">+#REF!</f>
        <v>#REF!</v>
      </c>
      <c r="K18" s="68"/>
      <c r="L18" s="68"/>
      <c r="M18" s="371"/>
    </row>
    <row r="19" customFormat="false" ht="15" hidden="false" customHeight="true" outlineLevel="0" collapsed="false">
      <c r="A19" s="9" t="s">
        <v>179</v>
      </c>
      <c r="B19" s="380"/>
      <c r="C19" s="378"/>
      <c r="D19" s="378"/>
      <c r="E19" s="378"/>
      <c r="F19" s="378"/>
      <c r="G19" s="378"/>
      <c r="H19" s="378"/>
      <c r="I19" s="378" t="e">
        <f aca="false">SUM(I13:I18)</f>
        <v>#REF!</v>
      </c>
      <c r="J19" s="378" t="e">
        <f aca="false">SUM(J13:J18)</f>
        <v>#REF!</v>
      </c>
      <c r="K19" s="68"/>
      <c r="L19" s="68"/>
      <c r="M19" s="371"/>
    </row>
    <row r="20" customFormat="false" ht="15" hidden="false" customHeight="true" outlineLevel="0" collapsed="false">
      <c r="A20" s="9"/>
      <c r="B20" s="380"/>
      <c r="C20" s="378"/>
      <c r="D20" s="378"/>
      <c r="E20" s="378"/>
      <c r="F20" s="378"/>
      <c r="G20" s="378"/>
      <c r="H20" s="378"/>
      <c r="I20" s="378"/>
      <c r="J20" s="378"/>
      <c r="K20" s="68"/>
      <c r="L20" s="68"/>
      <c r="M20" s="371"/>
    </row>
    <row r="21" customFormat="false" ht="15" hidden="false" customHeight="true" outlineLevel="0" collapsed="false">
      <c r="A21" s="380"/>
      <c r="B21" s="380"/>
      <c r="C21" s="378"/>
      <c r="D21" s="378"/>
      <c r="E21" s="378"/>
      <c r="F21" s="378"/>
      <c r="G21" s="378"/>
      <c r="H21" s="378"/>
      <c r="I21" s="378"/>
      <c r="J21" s="197"/>
      <c r="K21" s="68"/>
      <c r="L21" s="68"/>
      <c r="M21" s="371"/>
    </row>
    <row r="22" customFormat="false" ht="15" hidden="false" customHeight="true" outlineLevel="0" collapsed="false">
      <c r="A22" s="21" t="s">
        <v>93</v>
      </c>
      <c r="B22" s="21" t="s">
        <v>180</v>
      </c>
      <c r="C22" s="376" t="n">
        <f aca="false">+'Edison Int''l '!D16</f>
        <v>0</v>
      </c>
      <c r="D22" s="376" t="n">
        <f aca="false">+'Edison Int''l '!E16</f>
        <v>0</v>
      </c>
      <c r="E22" s="376" t="n">
        <f aca="false">+'Edison Int''l '!F16</f>
        <v>0</v>
      </c>
      <c r="F22" s="376" t="n">
        <f aca="false">+'Edison Int''l '!G16</f>
        <v>0</v>
      </c>
      <c r="G22" s="376" t="n">
        <f aca="false">+'Edison Int''l '!L16</f>
        <v>0</v>
      </c>
      <c r="H22" s="376" t="n">
        <f aca="false">+'Edison Int''l '!M16</f>
        <v>0</v>
      </c>
      <c r="I22" s="376" t="n">
        <f aca="false">+'Edison Int''l '!Q16</f>
        <v>0</v>
      </c>
      <c r="J22" s="376" t="n">
        <f aca="false">+'Edison Int''l '!R16</f>
        <v>0</v>
      </c>
      <c r="K22" s="68"/>
      <c r="L22" s="68"/>
      <c r="M22" s="371"/>
    </row>
    <row r="23" customFormat="false" ht="15" hidden="false" customHeight="true" outlineLevel="0" collapsed="false">
      <c r="A23" s="21" t="s">
        <v>93</v>
      </c>
      <c r="B23" s="21" t="s">
        <v>181</v>
      </c>
      <c r="C23" s="376" t="n">
        <f aca="false">+'Edison Int''l '!D17</f>
        <v>0</v>
      </c>
      <c r="D23" s="376" t="n">
        <f aca="false">+'Edison Int''l '!E17</f>
        <v>-8635899</v>
      </c>
      <c r="E23" s="376" t="n">
        <f aca="false">+'Edison Int''l '!F17</f>
        <v>4473320</v>
      </c>
      <c r="F23" s="376" t="n">
        <f aca="false">+'Edison Int''l '!G17</f>
        <v>0</v>
      </c>
      <c r="G23" s="376" t="n">
        <f aca="false">+'Edison Int''l '!L17</f>
        <v>4473320</v>
      </c>
      <c r="H23" s="376" t="n">
        <f aca="false">+'Edison Int''l '!M17</f>
        <v>-4444817</v>
      </c>
      <c r="I23" s="382" t="n">
        <f aca="false">+'Edison Int''l '!Q17</f>
        <v>0</v>
      </c>
      <c r="J23" s="382" t="n">
        <f aca="false">+'Edison Int''l '!R17</f>
        <v>-4162579</v>
      </c>
      <c r="K23" s="68"/>
      <c r="L23" s="68"/>
      <c r="M23" s="371"/>
    </row>
    <row r="24" customFormat="false" ht="15" hidden="false" customHeight="true" outlineLevel="0" collapsed="false">
      <c r="A24" s="9" t="s">
        <v>182</v>
      </c>
      <c r="B24" s="380"/>
      <c r="C24" s="378"/>
      <c r="D24" s="378"/>
      <c r="E24" s="378"/>
      <c r="F24" s="378"/>
      <c r="G24" s="378"/>
      <c r="H24" s="378"/>
      <c r="I24" s="378" t="n">
        <f aca="false">SUM(I22:I23)</f>
        <v>0</v>
      </c>
      <c r="J24" s="378" t="n">
        <f aca="false">SUM(J22:J23)</f>
        <v>-4162579</v>
      </c>
      <c r="K24" s="197"/>
      <c r="L24" s="197"/>
      <c r="M24" s="383"/>
    </row>
    <row r="25" customFormat="false" ht="15" hidden="false" customHeight="true" outlineLevel="0" collapsed="false">
      <c r="A25" s="9"/>
      <c r="B25" s="380"/>
      <c r="C25" s="378"/>
      <c r="D25" s="378"/>
      <c r="E25" s="378"/>
      <c r="F25" s="378"/>
      <c r="G25" s="378"/>
      <c r="H25" s="378"/>
      <c r="I25" s="378"/>
      <c r="J25" s="378"/>
      <c r="K25" s="197"/>
      <c r="L25" s="197"/>
      <c r="M25" s="383"/>
    </row>
    <row r="26" customFormat="false" ht="15" hidden="false" customHeight="true" outlineLevel="0" collapsed="false">
      <c r="A26" s="21"/>
      <c r="B26" s="21"/>
      <c r="C26" s="376"/>
      <c r="D26" s="376"/>
      <c r="E26" s="376"/>
      <c r="F26" s="376"/>
      <c r="G26" s="376"/>
      <c r="H26" s="376"/>
      <c r="I26" s="376"/>
      <c r="J26" s="68"/>
      <c r="K26" s="68"/>
      <c r="L26" s="68"/>
      <c r="M26" s="371"/>
    </row>
    <row r="27" customFormat="false" ht="15" hidden="false" customHeight="true" outlineLevel="0" collapsed="false">
      <c r="A27" s="21" t="s">
        <v>93</v>
      </c>
      <c r="B27" s="21" t="s">
        <v>46</v>
      </c>
      <c r="C27" s="376" t="e">
        <f aca="false">+#REF!</f>
        <v>#REF!</v>
      </c>
      <c r="D27" s="376" t="e">
        <f aca="false">+#REF!</f>
        <v>#REF!</v>
      </c>
      <c r="E27" s="376" t="e">
        <f aca="false">+#REF!</f>
        <v>#REF!</v>
      </c>
      <c r="F27" s="376" t="e">
        <f aca="false">+#REF!</f>
        <v>#REF!</v>
      </c>
      <c r="G27" s="376" t="e">
        <f aca="false">+#REF!</f>
        <v>#REF!</v>
      </c>
      <c r="H27" s="376" t="e">
        <f aca="false">+#REF!</f>
        <v>#REF!</v>
      </c>
      <c r="I27" s="376" t="e">
        <f aca="false">+#REF!</f>
        <v>#REF!</v>
      </c>
      <c r="J27" s="376" t="e">
        <f aca="false">+#REF!</f>
        <v>#REF!</v>
      </c>
      <c r="K27" s="384"/>
      <c r="L27" s="384"/>
      <c r="M27" s="385"/>
    </row>
    <row r="28" customFormat="false" ht="15" hidden="false" customHeight="true" outlineLevel="0" collapsed="false">
      <c r="A28" s="21" t="s">
        <v>45</v>
      </c>
      <c r="B28" s="21" t="s">
        <v>46</v>
      </c>
      <c r="C28" s="376" t="n">
        <f aca="false">+'PG&amp;E Corp. '!D23</f>
        <v>0</v>
      </c>
      <c r="D28" s="376" t="n">
        <f aca="false">+'PG&amp;E Corp. '!E23</f>
        <v>0</v>
      </c>
      <c r="E28" s="376" t="n">
        <f aca="false">+'PG&amp;E Corp. '!F23</f>
        <v>0</v>
      </c>
      <c r="F28" s="376" t="n">
        <f aca="false">+'PG&amp;E Corp. '!G23</f>
        <v>0</v>
      </c>
      <c r="G28" s="376" t="n">
        <f aca="false">+'PG&amp;E Corp. '!L23</f>
        <v>0</v>
      </c>
      <c r="H28" s="376" t="n">
        <f aca="false">+'PG&amp;E Corp. '!M23</f>
        <v>0</v>
      </c>
      <c r="I28" s="382" t="n">
        <f aca="false">+'PG&amp;E Corp. '!Q23</f>
        <v>0</v>
      </c>
      <c r="J28" s="382" t="n">
        <f aca="false">+'PG&amp;E Corp. '!R23</f>
        <v>0</v>
      </c>
      <c r="K28" s="68"/>
      <c r="L28" s="68"/>
      <c r="M28" s="371"/>
    </row>
    <row r="29" customFormat="false" ht="15" hidden="false" customHeight="true" outlineLevel="0" collapsed="false">
      <c r="A29" s="9" t="s">
        <v>183</v>
      </c>
      <c r="B29" s="380"/>
      <c r="C29" s="378"/>
      <c r="D29" s="378"/>
      <c r="E29" s="378"/>
      <c r="F29" s="378"/>
      <c r="G29" s="378"/>
      <c r="H29" s="378"/>
      <c r="I29" s="378" t="e">
        <f aca="false">SUM(I27:I28)</f>
        <v>#REF!</v>
      </c>
      <c r="J29" s="378" t="e">
        <f aca="false">SUM(J27:J28)</f>
        <v>#REF!</v>
      </c>
      <c r="K29" s="68"/>
      <c r="L29" s="68"/>
      <c r="M29" s="371"/>
    </row>
    <row r="30" customFormat="false" ht="15" hidden="false" customHeight="true" outlineLevel="0" collapsed="false">
      <c r="A30" s="9"/>
      <c r="B30" s="21"/>
      <c r="C30" s="376"/>
      <c r="D30" s="376"/>
      <c r="E30" s="376"/>
      <c r="F30" s="376"/>
      <c r="G30" s="376"/>
      <c r="H30" s="376"/>
      <c r="I30" s="376"/>
      <c r="J30" s="376"/>
      <c r="K30" s="68"/>
      <c r="L30" s="68"/>
      <c r="M30" s="371"/>
    </row>
    <row r="31" customFormat="false" ht="15" hidden="false" customHeight="true" outlineLevel="0" collapsed="false">
      <c r="A31" s="21"/>
      <c r="B31" s="21"/>
      <c r="C31" s="376"/>
      <c r="D31" s="376"/>
      <c r="E31" s="376"/>
      <c r="F31" s="376"/>
      <c r="G31" s="376"/>
      <c r="H31" s="376"/>
      <c r="I31" s="376"/>
      <c r="J31" s="68"/>
      <c r="K31" s="68"/>
      <c r="L31" s="68"/>
      <c r="M31" s="371"/>
    </row>
    <row r="32" customFormat="false" ht="15" hidden="false" customHeight="true" outlineLevel="0" collapsed="false">
      <c r="A32" s="21" t="s">
        <v>93</v>
      </c>
      <c r="B32" s="21" t="s">
        <v>184</v>
      </c>
      <c r="C32" s="376" t="e">
        <f aca="false">+#REF!</f>
        <v>#REF!</v>
      </c>
      <c r="D32" s="376" t="e">
        <f aca="false">+#REF!</f>
        <v>#REF!</v>
      </c>
      <c r="E32" s="376" t="e">
        <f aca="false">+#REF!</f>
        <v>#REF!</v>
      </c>
      <c r="F32" s="376" t="e">
        <f aca="false">+#REF!</f>
        <v>#REF!</v>
      </c>
      <c r="G32" s="376" t="e">
        <f aca="false">+#REF!</f>
        <v>#REF!</v>
      </c>
      <c r="H32" s="376" t="e">
        <f aca="false">+#REF!</f>
        <v>#REF!</v>
      </c>
      <c r="I32" s="376" t="e">
        <f aca="false">+#REF!</f>
        <v>#REF!</v>
      </c>
      <c r="J32" s="376" t="e">
        <f aca="false">+#REF!</f>
        <v>#REF!</v>
      </c>
      <c r="K32" s="68"/>
      <c r="L32" s="68"/>
      <c r="M32" s="371"/>
    </row>
    <row r="33" customFormat="false" ht="15" hidden="false" customHeight="true" outlineLevel="0" collapsed="false">
      <c r="A33" s="21" t="s">
        <v>93</v>
      </c>
      <c r="B33" s="21" t="s">
        <v>184</v>
      </c>
      <c r="C33" s="376" t="e">
        <f aca="false">+#REF!</f>
        <v>#REF!</v>
      </c>
      <c r="D33" s="376" t="e">
        <f aca="false">+#REF!</f>
        <v>#REF!</v>
      </c>
      <c r="E33" s="376" t="e">
        <f aca="false">+#REF!</f>
        <v>#REF!</v>
      </c>
      <c r="F33" s="376" t="e">
        <f aca="false">+#REF!</f>
        <v>#REF!</v>
      </c>
      <c r="G33" s="376" t="e">
        <f aca="false">+#REF!</f>
        <v>#REF!</v>
      </c>
      <c r="H33" s="376" t="e">
        <f aca="false">+#REF!</f>
        <v>#REF!</v>
      </c>
      <c r="I33" s="382" t="e">
        <f aca="false">+#REF!</f>
        <v>#REF!</v>
      </c>
      <c r="J33" s="382" t="e">
        <f aca="false">+#REF!</f>
        <v>#REF!</v>
      </c>
      <c r="K33" s="68"/>
      <c r="L33" s="68"/>
      <c r="M33" s="371"/>
    </row>
    <row r="34" customFormat="false" ht="15" hidden="false" customHeight="true" outlineLevel="0" collapsed="false">
      <c r="A34" s="9" t="s">
        <v>185</v>
      </c>
      <c r="B34" s="380"/>
      <c r="C34" s="378"/>
      <c r="D34" s="378"/>
      <c r="E34" s="378"/>
      <c r="F34" s="378"/>
      <c r="G34" s="378"/>
      <c r="H34" s="378"/>
      <c r="I34" s="378" t="e">
        <f aca="false">SUM(I32:I33)</f>
        <v>#REF!</v>
      </c>
      <c r="J34" s="378" t="e">
        <f aca="false">SUM(J32:J33)</f>
        <v>#REF!</v>
      </c>
      <c r="K34" s="68"/>
      <c r="L34" s="68"/>
      <c r="M34" s="371"/>
    </row>
    <row r="35" customFormat="false" ht="15" hidden="false" customHeight="true" outlineLevel="0" collapsed="false">
      <c r="A35" s="9"/>
      <c r="B35" s="380"/>
      <c r="C35" s="378"/>
      <c r="D35" s="378"/>
      <c r="E35" s="378"/>
      <c r="F35" s="378"/>
      <c r="G35" s="378"/>
      <c r="H35" s="378"/>
      <c r="I35" s="378"/>
      <c r="J35" s="378"/>
      <c r="K35" s="68"/>
      <c r="L35" s="68"/>
      <c r="M35" s="371"/>
    </row>
    <row r="36" customFormat="false" ht="15" hidden="false" customHeight="true" outlineLevel="0" collapsed="false">
      <c r="A36" s="21"/>
      <c r="B36" s="21"/>
      <c r="C36" s="376"/>
      <c r="D36" s="376"/>
      <c r="E36" s="376"/>
      <c r="F36" s="376"/>
      <c r="G36" s="376"/>
      <c r="H36" s="376"/>
      <c r="I36" s="376"/>
      <c r="J36" s="68"/>
      <c r="K36" s="68"/>
      <c r="L36" s="68"/>
      <c r="M36" s="371"/>
    </row>
    <row r="37" customFormat="false" ht="15" hidden="false" customHeight="true" outlineLevel="0" collapsed="false">
      <c r="A37" s="21" t="s">
        <v>99</v>
      </c>
      <c r="B37" s="21" t="s">
        <v>29</v>
      </c>
      <c r="C37" s="376" t="n">
        <f aca="false">+'Edison Int''l '!D18</f>
        <v>0</v>
      </c>
      <c r="D37" s="376" t="n">
        <f aca="false">+'Edison Int''l '!E18</f>
        <v>0</v>
      </c>
      <c r="E37" s="376" t="n">
        <f aca="false">+'Edison Int''l '!F18</f>
        <v>0</v>
      </c>
      <c r="F37" s="376" t="n">
        <f aca="false">+'Edison Int''l '!G18</f>
        <v>0</v>
      </c>
      <c r="G37" s="376" t="n">
        <f aca="false">+'Edison Int''l '!L18</f>
        <v>0</v>
      </c>
      <c r="H37" s="376" t="n">
        <f aca="false">+'Edison Int''l '!M18</f>
        <v>11891006</v>
      </c>
      <c r="I37" s="376" t="n">
        <f aca="false">+'Edison Int''l '!Q18</f>
        <v>0</v>
      </c>
      <c r="J37" s="376" t="n">
        <f aca="false">+'Edison Int''l '!R18</f>
        <v>0</v>
      </c>
      <c r="K37" s="68"/>
      <c r="L37" s="68"/>
      <c r="M37" s="371"/>
    </row>
    <row r="38" customFormat="false" ht="21" hidden="false" customHeight="true" outlineLevel="0" collapsed="false">
      <c r="A38" s="386" t="s">
        <v>186</v>
      </c>
      <c r="B38" s="386" t="s">
        <v>29</v>
      </c>
      <c r="C38" s="387" t="n">
        <f aca="false">+'Edison Int''l '!D22</f>
        <v>16811333</v>
      </c>
      <c r="D38" s="387" t="n">
        <f aca="false">+'Edison Int''l '!E22</f>
        <v>0</v>
      </c>
      <c r="E38" s="387" t="n">
        <f aca="false">+'Edison Int''l '!F22</f>
        <v>0</v>
      </c>
      <c r="F38" s="387" t="n">
        <f aca="false">+'Edison Int''l '!G22</f>
        <v>0</v>
      </c>
      <c r="G38" s="387" t="n">
        <f aca="false">+'Edison Int''l '!L22</f>
        <v>0</v>
      </c>
      <c r="H38" s="387" t="n">
        <f aca="false">+'Edison Int''l '!M22</f>
        <v>0</v>
      </c>
      <c r="I38" s="387" t="n">
        <f aca="false">+'Edison Int''l '!Q22</f>
        <v>16811333</v>
      </c>
      <c r="J38" s="387" t="n">
        <f aca="false">+'Edison Int''l '!R22</f>
        <v>0</v>
      </c>
      <c r="K38" s="68"/>
      <c r="L38" s="68"/>
      <c r="M38" s="371"/>
    </row>
    <row r="39" customFormat="false" ht="21" hidden="false" customHeight="true" outlineLevel="0" collapsed="false">
      <c r="A39" s="296" t="s">
        <v>26</v>
      </c>
      <c r="B39" s="388" t="s">
        <v>29</v>
      </c>
      <c r="C39" s="379" t="n">
        <f aca="false">+'PG&amp;E Corp. '!D9</f>
        <v>23361883</v>
      </c>
      <c r="D39" s="379" t="n">
        <f aca="false">+'PG&amp;E Corp. '!E9</f>
        <v>-57869231</v>
      </c>
      <c r="E39" s="379" t="n">
        <f aca="false">+'PG&amp;E Corp. '!F9</f>
        <v>19630979.2</v>
      </c>
      <c r="F39" s="379" t="n">
        <f aca="false">+'PG&amp;E Corp. '!G9</f>
        <v>0</v>
      </c>
      <c r="G39" s="379" t="n">
        <f aca="false">+'PG&amp;E Corp. '!L9</f>
        <v>32415487.2</v>
      </c>
      <c r="H39" s="379" t="n">
        <f aca="false">+'PG&amp;E Corp. '!M9</f>
        <v>-21241850</v>
      </c>
      <c r="I39" s="379" t="n">
        <f aca="false">+'PG&amp;E Corp. '!Q9</f>
        <v>23361883</v>
      </c>
      <c r="J39" s="379" t="n">
        <f aca="false">+'PG&amp;E Corp. '!R9</f>
        <v>-25453743.8</v>
      </c>
      <c r="K39" s="85"/>
      <c r="L39" s="85"/>
      <c r="M39" s="375"/>
    </row>
    <row r="40" customFormat="false" ht="15" hidden="false" customHeight="true" outlineLevel="0" collapsed="false">
      <c r="A40" s="21" t="s">
        <v>39</v>
      </c>
      <c r="B40" s="21" t="s">
        <v>29</v>
      </c>
      <c r="C40" s="376" t="n">
        <f aca="false">+'PG&amp;E Corp. '!D18</f>
        <v>0</v>
      </c>
      <c r="D40" s="376" t="n">
        <f aca="false">+'PG&amp;E Corp. '!E18</f>
        <v>0</v>
      </c>
      <c r="E40" s="376" t="n">
        <f aca="false">+'PG&amp;E Corp. '!F18</f>
        <v>0</v>
      </c>
      <c r="F40" s="376" t="n">
        <f aca="false">+'PG&amp;E Corp. '!G18</f>
        <v>0</v>
      </c>
      <c r="G40" s="376" t="n">
        <f aca="false">+'PG&amp;E Corp. '!L18</f>
        <v>0</v>
      </c>
      <c r="H40" s="376" t="n">
        <f aca="false">+'PG&amp;E Corp. '!M18</f>
        <v>290238</v>
      </c>
      <c r="I40" s="376" t="n">
        <f aca="false">+'PG&amp;E Corp. '!Q18</f>
        <v>0</v>
      </c>
      <c r="J40" s="376" t="n">
        <f aca="false">+'PG&amp;E Corp. '!R18</f>
        <v>0</v>
      </c>
      <c r="K40" s="68"/>
      <c r="L40" s="68"/>
      <c r="M40" s="371"/>
    </row>
    <row r="41" customFormat="false" ht="15" hidden="false" customHeight="true" outlineLevel="0" collapsed="false">
      <c r="A41" s="21" t="s">
        <v>45</v>
      </c>
      <c r="B41" s="21" t="s">
        <v>29</v>
      </c>
      <c r="C41" s="376" t="n">
        <f aca="false">+'PG&amp;E Corp. '!D25</f>
        <v>-3978017</v>
      </c>
      <c r="D41" s="376" t="n">
        <f aca="false">+'PG&amp;E Corp. '!E25</f>
        <v>0</v>
      </c>
      <c r="E41" s="376" t="n">
        <f aca="false">+'PG&amp;E Corp. '!F25</f>
        <v>0</v>
      </c>
      <c r="F41" s="376" t="n">
        <f aca="false">+'PG&amp;E Corp. '!G25</f>
        <v>0</v>
      </c>
      <c r="G41" s="376" t="n">
        <f aca="false">+'PG&amp;E Corp. '!L25</f>
        <v>0</v>
      </c>
      <c r="H41" s="376" t="n">
        <f aca="false">+'PG&amp;E Corp. '!M25</f>
        <v>0</v>
      </c>
      <c r="I41" s="376" t="n">
        <f aca="false">+'PG&amp;E Corp. '!Q25</f>
        <v>0</v>
      </c>
      <c r="J41" s="376" t="n">
        <f aca="false">+'PG&amp;E Corp. '!R25</f>
        <v>-3978017</v>
      </c>
      <c r="K41" s="68"/>
      <c r="L41" s="68"/>
      <c r="M41" s="371"/>
    </row>
    <row r="42" customFormat="false" ht="15" hidden="false" customHeight="true" outlineLevel="0" collapsed="false">
      <c r="A42" s="21" t="s">
        <v>45</v>
      </c>
      <c r="B42" s="21" t="s">
        <v>29</v>
      </c>
      <c r="C42" s="376" t="n">
        <f aca="false">+'PG&amp;E Corp. '!D26</f>
        <v>0</v>
      </c>
      <c r="D42" s="376" t="n">
        <f aca="false">+'PG&amp;E Corp. '!E26</f>
        <v>-1132729</v>
      </c>
      <c r="E42" s="376" t="n">
        <f aca="false">+'PG&amp;E Corp. '!F26</f>
        <v>0</v>
      </c>
      <c r="F42" s="376" t="n">
        <f aca="false">+'PG&amp;E Corp. '!G26</f>
        <v>0</v>
      </c>
      <c r="G42" s="376" t="n">
        <f aca="false">+'PG&amp;E Corp. '!L26</f>
        <v>0</v>
      </c>
      <c r="H42" s="376" t="n">
        <f aca="false">+'PG&amp;E Corp. '!M26</f>
        <v>758150</v>
      </c>
      <c r="I42" s="376" t="n">
        <f aca="false">+'PG&amp;E Corp. '!Q26</f>
        <v>0</v>
      </c>
      <c r="J42" s="376" t="n">
        <f aca="false">+'PG&amp;E Corp. '!R26</f>
        <v>-1132729</v>
      </c>
      <c r="K42" s="68"/>
      <c r="L42" s="68"/>
      <c r="M42" s="371"/>
    </row>
    <row r="43" customFormat="false" ht="15" hidden="false" customHeight="true" outlineLevel="0" collapsed="false">
      <c r="A43" s="21" t="s">
        <v>56</v>
      </c>
      <c r="B43" s="21" t="s">
        <v>29</v>
      </c>
      <c r="C43" s="376" t="n">
        <f aca="false">+'PG&amp;E Corp. '!D38</f>
        <v>0</v>
      </c>
      <c r="D43" s="376" t="n">
        <f aca="false">+'PG&amp;E Corp. '!E38</f>
        <v>-163375</v>
      </c>
      <c r="E43" s="376" t="n">
        <f aca="false">+'PG&amp;E Corp. '!F38</f>
        <v>1942306.8</v>
      </c>
      <c r="F43" s="376" t="n">
        <f aca="false">+'PG&amp;E Corp. '!G38</f>
        <v>-3884613.6</v>
      </c>
      <c r="G43" s="376" t="n">
        <f aca="false">+'PG&amp;E Corp. '!L38</f>
        <v>-3330856.8</v>
      </c>
      <c r="H43" s="376" t="n">
        <f aca="false">+'PG&amp;E Corp. '!M38</f>
        <v>-3205556</v>
      </c>
      <c r="I43" s="376" t="n">
        <f aca="false">+'PG&amp;E Corp. '!Q38</f>
        <v>0</v>
      </c>
      <c r="J43" s="376" t="n">
        <f aca="false">+'PG&amp;E Corp. '!R38</f>
        <v>-3494231.8</v>
      </c>
      <c r="K43" s="68"/>
      <c r="L43" s="68"/>
      <c r="M43" s="371"/>
    </row>
    <row r="44" customFormat="false" ht="15" hidden="false" customHeight="true" outlineLevel="0" collapsed="false">
      <c r="A44" s="21" t="s">
        <v>59</v>
      </c>
      <c r="B44" s="21" t="s">
        <v>29</v>
      </c>
      <c r="C44" s="376" t="n">
        <f aca="false">+'PG&amp;E Corp. '!D42</f>
        <v>67890487</v>
      </c>
      <c r="D44" s="376" t="n">
        <f aca="false">+'PG&amp;E Corp. '!E42</f>
        <v>0</v>
      </c>
      <c r="E44" s="376" t="n">
        <f aca="false">+'PG&amp;E Corp. '!F42</f>
        <v>0</v>
      </c>
      <c r="F44" s="376" t="n">
        <f aca="false">+'PG&amp;E Corp. '!G42</f>
        <v>0</v>
      </c>
      <c r="G44" s="376" t="n">
        <f aca="false">+'PG&amp;E Corp. '!L42</f>
        <v>0</v>
      </c>
      <c r="H44" s="376" t="n">
        <f aca="false">+'PG&amp;E Corp. '!M42</f>
        <v>-22486468</v>
      </c>
      <c r="I44" s="376" t="n">
        <f aca="false">+'PG&amp;E Corp. '!Q42</f>
        <v>67890487</v>
      </c>
      <c r="J44" s="376" t="n">
        <f aca="false">+'PG&amp;E Corp. '!R42</f>
        <v>0</v>
      </c>
      <c r="K44" s="68"/>
      <c r="L44" s="68"/>
      <c r="M44" s="371"/>
    </row>
    <row r="45" customFormat="false" ht="15" hidden="false" customHeight="true" outlineLevel="0" collapsed="false">
      <c r="A45" s="21" t="s">
        <v>59</v>
      </c>
      <c r="B45" s="21" t="s">
        <v>29</v>
      </c>
      <c r="C45" s="376" t="n">
        <f aca="false">+'PG&amp;E Corp. '!D43</f>
        <v>0</v>
      </c>
      <c r="D45" s="376" t="n">
        <f aca="false">+'PG&amp;E Corp. '!E43</f>
        <v>-13500241</v>
      </c>
      <c r="E45" s="376" t="n">
        <f aca="false">+'PG&amp;E Corp. '!F43</f>
        <v>15577739.46</v>
      </c>
      <c r="F45" s="376" t="n">
        <f aca="false">+'PG&amp;E Corp. '!G43</f>
        <v>-34033547.29</v>
      </c>
      <c r="G45" s="376" t="n">
        <f aca="false">+'PG&amp;E Corp. '!L43</f>
        <v>-34646480</v>
      </c>
      <c r="H45" s="376" t="n">
        <f aca="false">+'PG&amp;E Corp. '!M43</f>
        <v>-14187360</v>
      </c>
      <c r="I45" s="376" t="n">
        <f aca="false">+'PG&amp;E Corp. '!Q43</f>
        <v>0</v>
      </c>
      <c r="J45" s="376" t="n">
        <f aca="false">+'PG&amp;E Corp. '!R43</f>
        <v>-48146721</v>
      </c>
      <c r="K45" s="68"/>
      <c r="L45" s="68"/>
      <c r="M45" s="371"/>
    </row>
    <row r="46" customFormat="false" ht="17.25" hidden="false" customHeight="true" outlineLevel="0" collapsed="false">
      <c r="A46" s="380" t="s">
        <v>72</v>
      </c>
      <c r="B46" s="21" t="s">
        <v>29</v>
      </c>
      <c r="C46" s="376" t="n">
        <f aca="false">+'PG&amp;E Corp. '!D53</f>
        <v>0</v>
      </c>
      <c r="D46" s="376" t="n">
        <f aca="false">+'PG&amp;E Corp. '!E53</f>
        <v>76545752</v>
      </c>
      <c r="E46" s="376" t="n">
        <f aca="false">+'PG&amp;E Corp. '!F53</f>
        <v>0</v>
      </c>
      <c r="F46" s="376" t="n">
        <f aca="false">+'PG&amp;E Corp. '!G53</f>
        <v>0</v>
      </c>
      <c r="G46" s="376" t="n">
        <f aca="false">+'PG&amp;E Corp. '!L53</f>
        <v>0</v>
      </c>
      <c r="H46" s="376" t="n">
        <f aca="false">+'PG&amp;E Corp. '!M53</f>
        <v>-18574001</v>
      </c>
      <c r="I46" s="64" t="n">
        <f aca="false">+'PG&amp;E Corp. '!Q53</f>
        <v>76545752</v>
      </c>
      <c r="J46" s="64" t="n">
        <f aca="false">+'PG&amp;E Corp. '!R53</f>
        <v>0</v>
      </c>
      <c r="K46" s="68"/>
      <c r="L46" s="68"/>
      <c r="M46" s="371"/>
    </row>
    <row r="47" customFormat="false" ht="17.25" hidden="false" customHeight="true" outlineLevel="0" collapsed="false">
      <c r="A47" s="389" t="s">
        <v>54</v>
      </c>
      <c r="B47" s="21" t="s">
        <v>29</v>
      </c>
      <c r="C47" s="376" t="n">
        <f aca="false">+'PG&amp;E Corp. '!D32</f>
        <v>0</v>
      </c>
      <c r="D47" s="376" t="n">
        <f aca="false">+'PG&amp;E Corp. '!E32</f>
        <v>0</v>
      </c>
      <c r="E47" s="376" t="n">
        <f aca="false">+'PG&amp;E Corp. '!F32</f>
        <v>0</v>
      </c>
      <c r="F47" s="376" t="n">
        <f aca="false">+'PG&amp;E Corp. '!G32</f>
        <v>0</v>
      </c>
      <c r="G47" s="376" t="n">
        <f aca="false">+'PG&amp;E Corp. '!L32</f>
        <v>0</v>
      </c>
      <c r="H47" s="376" t="n">
        <f aca="false">+'PG&amp;E Corp. '!M32</f>
        <v>997337</v>
      </c>
      <c r="I47" s="382" t="n">
        <f aca="false">+'PG&amp;E Corp. '!Q32</f>
        <v>0</v>
      </c>
      <c r="J47" s="382" t="n">
        <f aca="false">+'PG&amp;E Corp. '!R32</f>
        <v>0</v>
      </c>
      <c r="K47" s="68"/>
      <c r="L47" s="68"/>
      <c r="M47" s="371"/>
    </row>
    <row r="48" customFormat="false" ht="15" hidden="false" customHeight="true" outlineLevel="0" collapsed="false">
      <c r="A48" s="9" t="s">
        <v>187</v>
      </c>
      <c r="B48" s="380"/>
      <c r="C48" s="378"/>
      <c r="D48" s="378"/>
      <c r="E48" s="378"/>
      <c r="F48" s="378"/>
      <c r="G48" s="378"/>
      <c r="H48" s="378"/>
      <c r="I48" s="378" t="n">
        <f aca="false">SUM(I37:I47)</f>
        <v>184609455</v>
      </c>
      <c r="J48" s="378" t="n">
        <f aca="false">SUM(J37:J47)</f>
        <v>-82205442.6</v>
      </c>
      <c r="K48" s="68"/>
      <c r="L48" s="68"/>
      <c r="M48" s="371"/>
    </row>
    <row r="49" customFormat="false" ht="15" hidden="false" customHeight="true" outlineLevel="0" collapsed="false">
      <c r="A49" s="9"/>
      <c r="B49" s="380"/>
      <c r="C49" s="378"/>
      <c r="D49" s="378"/>
      <c r="E49" s="378"/>
      <c r="F49" s="378"/>
      <c r="G49" s="378"/>
      <c r="H49" s="378"/>
      <c r="I49" s="378"/>
      <c r="J49" s="378"/>
      <c r="K49" s="68"/>
      <c r="L49" s="68"/>
      <c r="M49" s="371"/>
    </row>
    <row r="50" customFormat="false" ht="15" hidden="false" customHeight="true" outlineLevel="0" collapsed="false">
      <c r="A50" s="21"/>
      <c r="B50" s="21"/>
      <c r="C50" s="376"/>
      <c r="D50" s="376"/>
      <c r="E50" s="376"/>
      <c r="F50" s="376"/>
      <c r="G50" s="376"/>
      <c r="H50" s="376"/>
      <c r="I50" s="376"/>
      <c r="J50" s="390"/>
      <c r="K50" s="68"/>
      <c r="L50" s="68"/>
      <c r="M50" s="371"/>
    </row>
    <row r="51" customFormat="false" ht="15" hidden="false" customHeight="true" outlineLevel="0" collapsed="false">
      <c r="A51" s="68" t="s">
        <v>121</v>
      </c>
      <c r="B51" s="21" t="s">
        <v>30</v>
      </c>
      <c r="C51" s="391" t="s">
        <v>188</v>
      </c>
      <c r="D51" s="392"/>
      <c r="E51" s="305" t="n">
        <f aca="false">77653215-27346350-659005</f>
        <v>49647860</v>
      </c>
      <c r="F51" s="306"/>
      <c r="G51" s="2"/>
      <c r="H51" s="2"/>
      <c r="I51" s="68" t="n">
        <f aca="false">+E51</f>
        <v>49647860</v>
      </c>
      <c r="J51" s="392"/>
      <c r="K51" s="68"/>
      <c r="L51" s="68"/>
      <c r="M51" s="371"/>
    </row>
    <row r="52" customFormat="false" ht="15" hidden="false" customHeight="true" outlineLevel="0" collapsed="false">
      <c r="A52" s="68" t="s">
        <v>121</v>
      </c>
      <c r="B52" s="21" t="s">
        <v>30</v>
      </c>
      <c r="C52" s="391" t="s">
        <v>189</v>
      </c>
      <c r="D52" s="392"/>
      <c r="E52" s="305"/>
      <c r="F52" s="306" t="n">
        <f aca="false">-42747380+28936761-599752+21</f>
        <v>-14410350</v>
      </c>
      <c r="G52" s="2"/>
      <c r="H52" s="2"/>
      <c r="I52" s="68"/>
      <c r="J52" s="305" t="n">
        <f aca="false">+F52</f>
        <v>-14410350</v>
      </c>
      <c r="K52" s="68"/>
      <c r="L52" s="68"/>
      <c r="M52" s="371"/>
    </row>
    <row r="53" customFormat="false" ht="15" hidden="false" customHeight="true" outlineLevel="0" collapsed="false">
      <c r="A53" s="68" t="s">
        <v>121</v>
      </c>
      <c r="B53" s="21" t="s">
        <v>30</v>
      </c>
      <c r="C53" s="393" t="s">
        <v>190</v>
      </c>
      <c r="D53" s="392"/>
      <c r="E53" s="305"/>
      <c r="F53" s="306" t="n">
        <f aca="false">-7816951+1884397-137662</f>
        <v>-6070216</v>
      </c>
      <c r="G53" s="2"/>
      <c r="H53" s="2"/>
      <c r="I53" s="68"/>
      <c r="J53" s="305" t="n">
        <f aca="false">+F53</f>
        <v>-6070216</v>
      </c>
      <c r="K53" s="68"/>
      <c r="L53" s="68"/>
      <c r="M53" s="371"/>
    </row>
    <row r="54" customFormat="false" ht="15" hidden="false" customHeight="true" outlineLevel="0" collapsed="false">
      <c r="A54" s="2" t="s">
        <v>134</v>
      </c>
      <c r="B54" s="21" t="s">
        <v>30</v>
      </c>
      <c r="C54" s="394" t="s">
        <v>191</v>
      </c>
      <c r="D54" s="68"/>
      <c r="E54" s="306"/>
      <c r="F54" s="306" t="n">
        <f aca="false">-1967079+35761</f>
        <v>-1931318</v>
      </c>
      <c r="G54" s="2"/>
      <c r="H54" s="2"/>
      <c r="I54" s="68"/>
      <c r="J54" s="68" t="n">
        <f aca="false">+F54</f>
        <v>-1931318</v>
      </c>
      <c r="K54" s="68"/>
      <c r="L54" s="68"/>
      <c r="M54" s="371"/>
    </row>
    <row r="55" customFormat="false" ht="15" hidden="false" customHeight="true" outlineLevel="0" collapsed="false">
      <c r="A55" s="2" t="s">
        <v>134</v>
      </c>
      <c r="B55" s="21" t="s">
        <v>30</v>
      </c>
      <c r="C55" s="395" t="s">
        <v>192</v>
      </c>
      <c r="D55" s="68"/>
      <c r="E55" s="306"/>
      <c r="F55" s="306" t="n">
        <f aca="false">-874535+19401</f>
        <v>-855134</v>
      </c>
      <c r="G55" s="2"/>
      <c r="H55" s="2"/>
      <c r="I55" s="68"/>
      <c r="J55" s="68" t="n">
        <f aca="false">+F55</f>
        <v>-855134</v>
      </c>
      <c r="K55" s="68"/>
      <c r="L55" s="68"/>
      <c r="M55" s="371"/>
    </row>
    <row r="56" customFormat="false" ht="15" hidden="false" customHeight="true" outlineLevel="0" collapsed="false">
      <c r="A56" s="2" t="s">
        <v>134</v>
      </c>
      <c r="B56" s="21" t="s">
        <v>30</v>
      </c>
      <c r="C56" s="395" t="s">
        <v>193</v>
      </c>
      <c r="D56" s="68"/>
      <c r="E56" s="306" t="n">
        <f aca="false">27467988-14941737</f>
        <v>12526251</v>
      </c>
      <c r="F56" s="306"/>
      <c r="G56" s="2"/>
      <c r="H56" s="2"/>
      <c r="I56" s="68" t="n">
        <f aca="false">+E56</f>
        <v>12526251</v>
      </c>
      <c r="J56" s="68"/>
      <c r="K56" s="68"/>
      <c r="L56" s="68"/>
      <c r="M56" s="371"/>
    </row>
    <row r="57" customFormat="false" ht="15" hidden="false" customHeight="true" outlineLevel="0" collapsed="false">
      <c r="A57" s="2" t="s">
        <v>134</v>
      </c>
      <c r="B57" s="21" t="s">
        <v>30</v>
      </c>
      <c r="C57" s="395" t="s">
        <v>194</v>
      </c>
      <c r="D57" s="68"/>
      <c r="E57" s="306"/>
      <c r="F57" s="306" t="n">
        <f aca="false">-32647600</f>
        <v>-32647600</v>
      </c>
      <c r="G57" s="2"/>
      <c r="H57" s="2"/>
      <c r="I57" s="68"/>
      <c r="J57" s="68" t="n">
        <f aca="false">F57</f>
        <v>-32647600</v>
      </c>
      <c r="K57" s="68"/>
      <c r="L57" s="68"/>
      <c r="M57" s="371"/>
    </row>
    <row r="58" customFormat="false" ht="15" hidden="false" customHeight="true" outlineLevel="0" collapsed="false">
      <c r="A58" s="2" t="s">
        <v>134</v>
      </c>
      <c r="B58" s="21" t="s">
        <v>30</v>
      </c>
      <c r="C58" s="395" t="s">
        <v>195</v>
      </c>
      <c r="D58" s="68"/>
      <c r="E58" s="306"/>
      <c r="F58" s="306" t="n">
        <f aca="false">-26739+1573</f>
        <v>-25166</v>
      </c>
      <c r="G58" s="2"/>
      <c r="H58" s="2"/>
      <c r="I58" s="68"/>
      <c r="J58" s="68" t="n">
        <f aca="false">+F58</f>
        <v>-25166</v>
      </c>
      <c r="K58" s="68"/>
      <c r="L58" s="68"/>
      <c r="M58" s="371"/>
    </row>
    <row r="59" customFormat="false" ht="15" hidden="false" customHeight="true" outlineLevel="0" collapsed="false">
      <c r="A59" s="2" t="s">
        <v>134</v>
      </c>
      <c r="B59" s="21" t="s">
        <v>30</v>
      </c>
      <c r="C59" s="395" t="s">
        <v>196</v>
      </c>
      <c r="D59" s="68"/>
      <c r="E59" s="306"/>
      <c r="F59" s="306" t="n">
        <f aca="false">-29231764+13902201</f>
        <v>-15329563</v>
      </c>
      <c r="G59" s="2"/>
      <c r="H59" s="2"/>
      <c r="I59" s="68"/>
      <c r="J59" s="68" t="n">
        <f aca="false">+F59</f>
        <v>-15329563</v>
      </c>
      <c r="K59" s="68"/>
      <c r="L59" s="68"/>
      <c r="M59" s="371"/>
    </row>
    <row r="60" customFormat="false" ht="15" hidden="false" customHeight="true" outlineLevel="0" collapsed="false">
      <c r="A60" s="2" t="s">
        <v>134</v>
      </c>
      <c r="B60" s="21" t="s">
        <v>30</v>
      </c>
      <c r="C60" s="396" t="s">
        <v>143</v>
      </c>
      <c r="D60" s="68" t="n">
        <v>-48000000</v>
      </c>
      <c r="E60" s="306"/>
      <c r="F60" s="305"/>
      <c r="G60" s="2"/>
      <c r="H60" s="2"/>
      <c r="I60" s="68"/>
      <c r="J60" s="68" t="n">
        <f aca="false">+D60</f>
        <v>-48000000</v>
      </c>
      <c r="K60" s="68"/>
      <c r="L60" s="68"/>
      <c r="M60" s="371"/>
    </row>
    <row r="61" customFormat="false" ht="15" hidden="false" customHeight="true" outlineLevel="0" collapsed="false">
      <c r="A61" s="397" t="s">
        <v>186</v>
      </c>
      <c r="B61" s="21" t="s">
        <v>30</v>
      </c>
      <c r="C61" s="398" t="n">
        <f aca="false">+'Edison Int''l '!D23</f>
        <v>0</v>
      </c>
      <c r="D61" s="398" t="n">
        <f aca="false">+'Edison Int''l '!E23</f>
        <v>1482115</v>
      </c>
      <c r="E61" s="398" t="n">
        <f aca="false">+'Edison Int''l '!F23</f>
        <v>51772400</v>
      </c>
      <c r="F61" s="398" t="n">
        <f aca="false">+'Edison Int''l '!G23</f>
        <v>-47800400</v>
      </c>
      <c r="G61" s="398" t="n">
        <f aca="false">+'Edison Int''l '!L23</f>
        <v>3334140</v>
      </c>
      <c r="H61" s="398" t="n">
        <f aca="false">+'Edison Int''l '!M23</f>
        <v>-11111175</v>
      </c>
      <c r="I61" s="398" t="n">
        <f aca="false">+'Edison Int''l '!Q23</f>
        <v>4816255</v>
      </c>
      <c r="J61" s="398" t="n">
        <f aca="false">+'Edison Int''l '!R23</f>
        <v>0</v>
      </c>
      <c r="K61" s="68"/>
      <c r="L61" s="68"/>
      <c r="M61" s="371"/>
    </row>
    <row r="62" customFormat="false" ht="15" hidden="false" customHeight="true" outlineLevel="0" collapsed="false">
      <c r="A62" s="21" t="s">
        <v>26</v>
      </c>
      <c r="B62" s="21" t="s">
        <v>30</v>
      </c>
      <c r="C62" s="376" t="n">
        <f aca="false">+'PG&amp;E Corp. '!D10</f>
        <v>0</v>
      </c>
      <c r="D62" s="376" t="n">
        <f aca="false">+'PG&amp;E Corp. '!E10</f>
        <v>-127692931</v>
      </c>
      <c r="E62" s="376" t="n">
        <f aca="false">+'PG&amp;E Corp. '!F10</f>
        <v>2761920</v>
      </c>
      <c r="F62" s="376" t="n">
        <f aca="false">+'PG&amp;E Corp. '!G10</f>
        <v>0</v>
      </c>
      <c r="G62" s="376" t="n">
        <f aca="false">+'PG&amp;E Corp. '!L10</f>
        <v>5869080</v>
      </c>
      <c r="H62" s="376" t="n">
        <f aca="false">+'PG&amp;E Corp. '!M10</f>
        <v>-102163008</v>
      </c>
      <c r="I62" s="376" t="n">
        <f aca="false">+'PG&amp;E Corp. '!Q10</f>
        <v>0</v>
      </c>
      <c r="J62" s="376" t="n">
        <f aca="false">+'PG&amp;E Corp. '!R10</f>
        <v>-121823851</v>
      </c>
      <c r="K62" s="68"/>
      <c r="L62" s="68"/>
      <c r="M62" s="371"/>
    </row>
    <row r="63" customFormat="false" ht="15" hidden="false" customHeight="true" outlineLevel="0" collapsed="false">
      <c r="A63" s="380" t="s">
        <v>45</v>
      </c>
      <c r="B63" s="380" t="s">
        <v>30</v>
      </c>
      <c r="C63" s="378" t="n">
        <f aca="false">+'PG&amp;E Corp. '!D28</f>
        <v>0</v>
      </c>
      <c r="D63" s="378" t="n">
        <f aca="false">+'PG&amp;E Corp. '!E28</f>
        <v>87869875</v>
      </c>
      <c r="E63" s="378" t="n">
        <f aca="false">+'PG&amp;E Corp. '!F28</f>
        <v>69428963</v>
      </c>
      <c r="F63" s="378" t="n">
        <f aca="false">+'PG&amp;E Corp. '!G28</f>
        <v>-93340208</v>
      </c>
      <c r="G63" s="378" t="n">
        <f aca="false">+'PG&amp;E Corp. '!L28</f>
        <v>-19752699</v>
      </c>
      <c r="H63" s="378" t="n">
        <f aca="false">+'PG&amp;E Corp. '!M28</f>
        <v>221533072</v>
      </c>
      <c r="I63" s="378" t="n">
        <f aca="false">+'PG&amp;E Corp. '!Q28</f>
        <v>68117176</v>
      </c>
      <c r="J63" s="378" t="n">
        <f aca="false">+'PG&amp;E Corp. '!R28</f>
        <v>0</v>
      </c>
      <c r="K63" s="68"/>
      <c r="L63" s="68"/>
      <c r="M63" s="371"/>
    </row>
    <row r="64" customFormat="false" ht="15" hidden="false" customHeight="true" outlineLevel="0" collapsed="false">
      <c r="A64" s="399" t="s">
        <v>82</v>
      </c>
      <c r="B64" s="295" t="s">
        <v>30</v>
      </c>
      <c r="C64" s="113" t="n">
        <f aca="false">+'Edison Int''l '!D7</f>
        <v>0</v>
      </c>
      <c r="D64" s="113" t="n">
        <f aca="false">+'Edison Int''l '!E7</f>
        <v>-68530769</v>
      </c>
      <c r="E64" s="113" t="n">
        <f aca="false">+'Edison Int''l '!F7</f>
        <v>1152000</v>
      </c>
      <c r="F64" s="113" t="n">
        <f aca="false">+'Edison Int''l '!G7</f>
        <v>0</v>
      </c>
      <c r="G64" s="113" t="n">
        <f aca="false">+'Edison Int''l '!L7</f>
        <v>2448000</v>
      </c>
      <c r="H64" s="113" t="n">
        <f aca="false">+'Edison Int''l '!M7</f>
        <v>-43530494</v>
      </c>
      <c r="I64" s="400" t="n">
        <f aca="false">+'Edison Int''l '!Q7</f>
        <v>0</v>
      </c>
      <c r="J64" s="400" t="n">
        <f aca="false">+'Edison Int''l '!R7</f>
        <v>-66082769</v>
      </c>
      <c r="K64" s="85"/>
      <c r="L64" s="85"/>
      <c r="M64" s="375"/>
    </row>
    <row r="65" customFormat="false" ht="15" hidden="false" customHeight="true" outlineLevel="0" collapsed="false">
      <c r="A65" s="9" t="s">
        <v>197</v>
      </c>
      <c r="B65" s="397"/>
      <c r="C65" s="398"/>
      <c r="D65" s="398"/>
      <c r="E65" s="398"/>
      <c r="F65" s="398"/>
      <c r="G65" s="398"/>
      <c r="H65" s="398"/>
      <c r="I65" s="387" t="n">
        <f aca="false">SUM(I51:I64)</f>
        <v>135107542</v>
      </c>
      <c r="J65" s="387" t="n">
        <f aca="false">SUM(J51:J64)</f>
        <v>-307175967</v>
      </c>
      <c r="K65" s="68"/>
      <c r="L65" s="68"/>
      <c r="M65" s="371"/>
    </row>
    <row r="66" customFormat="false" ht="15" hidden="false" customHeight="true" outlineLevel="0" collapsed="false">
      <c r="A66" s="9"/>
      <c r="B66" s="397"/>
      <c r="C66" s="398"/>
      <c r="D66" s="398"/>
      <c r="E66" s="398"/>
      <c r="F66" s="398"/>
      <c r="G66" s="398"/>
      <c r="H66" s="398"/>
      <c r="I66" s="387"/>
      <c r="J66" s="387"/>
      <c r="K66" s="68"/>
      <c r="L66" s="68"/>
      <c r="M66" s="371"/>
    </row>
    <row r="67" customFormat="false" ht="15" hidden="false" customHeight="true" outlineLevel="0" collapsed="false">
      <c r="A67" s="397"/>
      <c r="B67" s="397"/>
      <c r="C67" s="398"/>
      <c r="D67" s="398"/>
      <c r="E67" s="398"/>
      <c r="F67" s="398"/>
      <c r="G67" s="398"/>
      <c r="H67" s="398"/>
      <c r="I67" s="398"/>
      <c r="J67" s="401"/>
      <c r="K67" s="68"/>
      <c r="L67" s="68"/>
      <c r="M67" s="371"/>
    </row>
    <row r="68" customFormat="false" ht="15" hidden="false" customHeight="true" outlineLevel="0" collapsed="false">
      <c r="A68" s="128" t="s">
        <v>26</v>
      </c>
      <c r="B68" s="128" t="s">
        <v>35</v>
      </c>
      <c r="C68" s="127" t="n">
        <f aca="false">+'PG&amp;E Corp. '!D14</f>
        <v>0</v>
      </c>
      <c r="D68" s="127" t="n">
        <f aca="false">+'PG&amp;E Corp. '!E14</f>
        <v>0</v>
      </c>
      <c r="E68" s="127" t="n">
        <f aca="false">+'PG&amp;E Corp. '!F14</f>
        <v>447801.92</v>
      </c>
      <c r="F68" s="127" t="n">
        <f aca="false">+'PG&amp;E Corp. '!G14</f>
        <v>0</v>
      </c>
      <c r="G68" s="127" t="n">
        <f aca="false">+'PG&amp;E Corp. '!L14</f>
        <v>447801.92</v>
      </c>
      <c r="H68" s="127" t="n">
        <f aca="false">+'PG&amp;E Corp. '!M14</f>
        <v>0</v>
      </c>
      <c r="I68" s="127" t="n">
        <f aca="false">+'PG&amp;E Corp. '!Q14</f>
        <v>447801.92</v>
      </c>
      <c r="J68" s="127" t="n">
        <f aca="false">+'PG&amp;E Corp. '!R14</f>
        <v>0</v>
      </c>
      <c r="K68" s="85"/>
      <c r="L68" s="85"/>
      <c r="M68" s="375"/>
    </row>
    <row r="69" customFormat="false" ht="15" hidden="false" customHeight="true" outlineLevel="0" collapsed="false">
      <c r="A69" s="128" t="s">
        <v>82</v>
      </c>
      <c r="B69" s="128" t="s">
        <v>35</v>
      </c>
      <c r="C69" s="127" t="n">
        <f aca="false">+'Edison Int''l '!D11</f>
        <v>0</v>
      </c>
      <c r="D69" s="127" t="n">
        <f aca="false">+'Edison Int''l '!E11</f>
        <v>30152467</v>
      </c>
      <c r="E69" s="127" t="n">
        <f aca="false">+'Edison Int''l '!F11</f>
        <v>10868964.13</v>
      </c>
      <c r="F69" s="127" t="n">
        <f aca="false">+'Edison Int''l '!G11</f>
        <v>0</v>
      </c>
      <c r="G69" s="127" t="n">
        <f aca="false">+'Edison Int''l '!L11</f>
        <v>10868964.13</v>
      </c>
      <c r="H69" s="127" t="n">
        <f aca="false">+'Edison Int''l '!M11</f>
        <v>0</v>
      </c>
      <c r="I69" s="402" t="n">
        <f aca="false">+'Edison Int''l '!Q11</f>
        <v>41021431.13</v>
      </c>
      <c r="J69" s="402" t="n">
        <f aca="false">+'Edison Int''l '!R11</f>
        <v>0</v>
      </c>
      <c r="K69" s="85"/>
      <c r="L69" s="85"/>
      <c r="M69" s="375"/>
    </row>
    <row r="70" customFormat="false" ht="15" hidden="false" customHeight="true" outlineLevel="0" collapsed="false">
      <c r="A70" s="9" t="s">
        <v>198</v>
      </c>
      <c r="B70" s="403"/>
      <c r="C70" s="384"/>
      <c r="D70" s="384"/>
      <c r="E70" s="384"/>
      <c r="F70" s="384"/>
      <c r="G70" s="384"/>
      <c r="H70" s="398"/>
      <c r="I70" s="404" t="n">
        <f aca="false">+SUM(I68:I69)</f>
        <v>41469233.05</v>
      </c>
      <c r="J70" s="404" t="n">
        <f aca="false">+SUM(J68:J69)</f>
        <v>0</v>
      </c>
      <c r="K70" s="68"/>
      <c r="L70" s="68"/>
      <c r="M70" s="371"/>
    </row>
    <row r="71" customFormat="false" ht="15" hidden="false" customHeight="true" outlineLevel="0" collapsed="false">
      <c r="A71" s="9"/>
      <c r="B71" s="403"/>
      <c r="C71" s="384"/>
      <c r="D71" s="384"/>
      <c r="E71" s="384"/>
      <c r="F71" s="384"/>
      <c r="G71" s="384"/>
      <c r="H71" s="398"/>
      <c r="I71" s="404"/>
      <c r="J71" s="404"/>
      <c r="K71" s="68"/>
      <c r="L71" s="68"/>
      <c r="M71" s="371"/>
    </row>
    <row r="72" customFormat="false" ht="15" hidden="false" customHeight="true" outlineLevel="0" collapsed="false">
      <c r="A72" s="403"/>
      <c r="B72" s="403"/>
      <c r="C72" s="384"/>
      <c r="D72" s="384"/>
      <c r="E72" s="384"/>
      <c r="F72" s="384"/>
      <c r="G72" s="384"/>
      <c r="H72" s="398"/>
      <c r="I72" s="384"/>
      <c r="J72" s="405"/>
      <c r="K72" s="68"/>
      <c r="L72" s="68"/>
      <c r="M72" s="371"/>
    </row>
    <row r="73" customFormat="false" ht="15" hidden="false" customHeight="true" outlineLevel="0" collapsed="false">
      <c r="A73" s="21" t="s">
        <v>59</v>
      </c>
      <c r="B73" s="21" t="s">
        <v>60</v>
      </c>
      <c r="C73" s="376" t="n">
        <f aca="false">+'PG&amp;E Corp. '!D44</f>
        <v>0</v>
      </c>
      <c r="D73" s="376" t="n">
        <f aca="false">+'PG&amp;E Corp. '!E44</f>
        <v>-10557</v>
      </c>
      <c r="E73" s="376" t="n">
        <f aca="false">+'PG&amp;E Corp. '!F44</f>
        <v>3086822</v>
      </c>
      <c r="F73" s="376" t="n">
        <f aca="false">+'PG&amp;E Corp. '!G44</f>
        <v>-129450</v>
      </c>
      <c r="G73" s="376" t="n">
        <f aca="false">+'PG&amp;E Corp. '!L44</f>
        <v>3309597</v>
      </c>
      <c r="H73" s="376" t="n">
        <f aca="false">+'PG&amp;E Corp. '!M44</f>
        <v>1507632</v>
      </c>
      <c r="I73" s="382" t="n">
        <f aca="false">+'PG&amp;E Corp. '!Q44</f>
        <v>3299040</v>
      </c>
      <c r="J73" s="382" t="n">
        <f aca="false">+'PG&amp;E Corp. '!R44</f>
        <v>0</v>
      </c>
      <c r="K73" s="68"/>
      <c r="L73" s="68"/>
      <c r="M73" s="371"/>
    </row>
    <row r="74" customFormat="false" ht="15" hidden="false" customHeight="true" outlineLevel="0" collapsed="false">
      <c r="A74" s="9" t="s">
        <v>199</v>
      </c>
      <c r="B74" s="21"/>
      <c r="C74" s="376"/>
      <c r="D74" s="376"/>
      <c r="E74" s="376"/>
      <c r="F74" s="376"/>
      <c r="G74" s="376"/>
      <c r="H74" s="376"/>
      <c r="I74" s="378" t="n">
        <f aca="false">SUM(I73)</f>
        <v>3299040</v>
      </c>
      <c r="J74" s="378" t="n">
        <f aca="false">SUM(J73)</f>
        <v>0</v>
      </c>
      <c r="K74" s="68"/>
      <c r="L74" s="68"/>
      <c r="M74" s="371"/>
    </row>
    <row r="75" customFormat="false" ht="15" hidden="false" customHeight="true" outlineLevel="0" collapsed="false">
      <c r="A75" s="9"/>
      <c r="B75" s="21"/>
      <c r="C75" s="376"/>
      <c r="D75" s="376"/>
      <c r="E75" s="376"/>
      <c r="F75" s="376"/>
      <c r="G75" s="376"/>
      <c r="H75" s="376"/>
      <c r="I75" s="378"/>
      <c r="J75" s="378"/>
      <c r="K75" s="68"/>
      <c r="L75" s="68"/>
      <c r="M75" s="371"/>
    </row>
    <row r="76" customFormat="false" ht="15" hidden="false" customHeight="true" outlineLevel="0" collapsed="false">
      <c r="A76" s="21"/>
      <c r="B76" s="21"/>
      <c r="C76" s="376"/>
      <c r="D76" s="376"/>
      <c r="E76" s="376"/>
      <c r="F76" s="376"/>
      <c r="G76" s="376"/>
      <c r="H76" s="376"/>
      <c r="I76" s="376"/>
      <c r="J76" s="68"/>
      <c r="K76" s="68"/>
      <c r="L76" s="68"/>
      <c r="M76" s="371"/>
    </row>
    <row r="77" customFormat="false" ht="15" hidden="false" customHeight="true" outlineLevel="0" collapsed="false">
      <c r="A77" s="68" t="s">
        <v>121</v>
      </c>
      <c r="B77" s="21" t="s">
        <v>200</v>
      </c>
      <c r="C77" s="393" t="s">
        <v>123</v>
      </c>
      <c r="D77" s="392"/>
      <c r="E77" s="306" t="n">
        <v>7700000</v>
      </c>
      <c r="F77" s="305"/>
      <c r="G77" s="2"/>
      <c r="H77" s="2"/>
      <c r="I77" s="68" t="n">
        <f aca="false">+E77</f>
        <v>7700000</v>
      </c>
      <c r="J77" s="392"/>
      <c r="K77" s="2"/>
      <c r="L77" s="2"/>
    </row>
    <row r="78" customFormat="false" ht="15" hidden="false" customHeight="true" outlineLevel="0" collapsed="false">
      <c r="A78" s="68" t="s">
        <v>121</v>
      </c>
      <c r="B78" s="21" t="s">
        <v>200</v>
      </c>
      <c r="C78" s="393" t="s">
        <v>124</v>
      </c>
      <c r="D78" s="392"/>
      <c r="E78" s="306" t="n">
        <v>45000000</v>
      </c>
      <c r="F78" s="305"/>
      <c r="G78" s="2"/>
      <c r="H78" s="2"/>
      <c r="I78" s="68" t="n">
        <f aca="false">+E78</f>
        <v>45000000</v>
      </c>
      <c r="J78" s="392"/>
      <c r="K78" s="2"/>
      <c r="L78" s="2"/>
    </row>
    <row r="79" customFormat="false" ht="15" hidden="false" customHeight="true" outlineLevel="0" collapsed="false">
      <c r="A79" s="68" t="s">
        <v>121</v>
      </c>
      <c r="B79" s="21" t="s">
        <v>200</v>
      </c>
      <c r="C79" s="393" t="s">
        <v>125</v>
      </c>
      <c r="D79" s="392"/>
      <c r="E79" s="306" t="n">
        <v>500000</v>
      </c>
      <c r="F79" s="305"/>
      <c r="G79" s="2"/>
      <c r="H79" s="2"/>
      <c r="I79" s="68" t="n">
        <f aca="false">+E79</f>
        <v>500000</v>
      </c>
      <c r="J79" s="392"/>
      <c r="K79" s="2"/>
      <c r="L79" s="2"/>
    </row>
    <row r="80" customFormat="false" ht="15" hidden="false" customHeight="true" outlineLevel="0" collapsed="false">
      <c r="A80" s="2" t="s">
        <v>134</v>
      </c>
      <c r="B80" s="21" t="s">
        <v>200</v>
      </c>
      <c r="C80" s="406" t="s">
        <v>124</v>
      </c>
      <c r="D80" s="407"/>
      <c r="E80" s="306" t="n">
        <v>2800000</v>
      </c>
      <c r="F80" s="306"/>
      <c r="G80" s="2"/>
      <c r="H80" s="2"/>
      <c r="I80" s="68" t="n">
        <f aca="false">+E80</f>
        <v>2800000</v>
      </c>
      <c r="J80" s="68"/>
      <c r="K80" s="2"/>
      <c r="L80" s="2"/>
    </row>
    <row r="81" customFormat="false" ht="15" hidden="false" customHeight="true" outlineLevel="0" collapsed="false">
      <c r="A81" s="373" t="s">
        <v>82</v>
      </c>
      <c r="B81" s="296" t="s">
        <v>200</v>
      </c>
      <c r="C81" s="374" t="n">
        <f aca="false">+'Edison Int''l '!D8</f>
        <v>0</v>
      </c>
      <c r="D81" s="374" t="n">
        <f aca="false">+'Edison Int''l '!E8</f>
        <v>0</v>
      </c>
      <c r="E81" s="374" t="n">
        <f aca="false">+'Edison Int''l '!F8</f>
        <v>52666000</v>
      </c>
      <c r="F81" s="374" t="n">
        <f aca="false">+'Edison Int''l '!G8</f>
        <v>0</v>
      </c>
      <c r="G81" s="374" t="n">
        <f aca="false">+'Edison Int''l '!L8</f>
        <v>52666000</v>
      </c>
      <c r="H81" s="374" t="n">
        <f aca="false">+'Edison Int''l '!M8</f>
        <v>0</v>
      </c>
      <c r="I81" s="408" t="n">
        <f aca="false">+'Edison Int''l '!Q8</f>
        <v>52666000</v>
      </c>
      <c r="J81" s="408" t="n">
        <f aca="false">+'Edison Int''l '!R8</f>
        <v>0</v>
      </c>
      <c r="K81" s="86"/>
      <c r="L81" s="86"/>
    </row>
    <row r="82" customFormat="false" ht="15" hidden="false" customHeight="true" outlineLevel="0" collapsed="false">
      <c r="A82" s="9" t="s">
        <v>201</v>
      </c>
      <c r="B82" s="2"/>
      <c r="C82" s="2"/>
      <c r="D82" s="2"/>
      <c r="E82" s="409"/>
      <c r="F82" s="409"/>
      <c r="G82" s="409"/>
      <c r="H82" s="409"/>
      <c r="I82" s="410" t="n">
        <f aca="false">SUM(I77:I81)</f>
        <v>108666000</v>
      </c>
      <c r="J82" s="410" t="n">
        <f aca="false">SUM(J77:J81)</f>
        <v>0</v>
      </c>
      <c r="K82" s="2"/>
      <c r="L82" s="2"/>
    </row>
    <row r="83" customFormat="false" ht="15" hidden="false" customHeight="true" outlineLevel="0" collapsed="false">
      <c r="A83" s="9"/>
      <c r="B83" s="2"/>
      <c r="C83" s="2"/>
      <c r="D83" s="2"/>
      <c r="E83" s="409"/>
      <c r="F83" s="409"/>
      <c r="G83" s="409"/>
      <c r="H83" s="409"/>
      <c r="I83" s="411"/>
      <c r="J83" s="411"/>
      <c r="K83" s="2"/>
      <c r="L83" s="2"/>
    </row>
    <row r="84" customFormat="false" ht="15" hidden="false" customHeight="true" outlineLevel="0" collapsed="false">
      <c r="A84" s="9" t="s">
        <v>202</v>
      </c>
      <c r="B84" s="2"/>
      <c r="C84" s="2"/>
      <c r="D84" s="2"/>
      <c r="E84" s="68"/>
      <c r="F84" s="68"/>
      <c r="G84" s="68"/>
      <c r="H84" s="2"/>
      <c r="I84" s="411" t="e">
        <f aca="false">+I82+I74+I70+I65+I48+I34+I29+I24+I19+I10</f>
        <v>#REF!</v>
      </c>
      <c r="J84" s="411" t="e">
        <f aca="false">+J82+J74+J70+J65+J48+J34+J29+J24+J19+J10</f>
        <v>#REF!</v>
      </c>
      <c r="K84" s="2"/>
    </row>
    <row r="85" customFormat="false" ht="1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412"/>
      <c r="K85" s="2"/>
      <c r="L85" s="2"/>
    </row>
    <row r="86" customFormat="false" ht="15" hidden="false" customHeight="true" outlineLevel="0" collapsed="false">
      <c r="A86" s="9" t="s">
        <v>203</v>
      </c>
      <c r="B86" s="2"/>
      <c r="C86" s="2"/>
      <c r="D86" s="2"/>
      <c r="E86" s="2"/>
      <c r="F86" s="2"/>
      <c r="G86" s="2"/>
      <c r="H86" s="2"/>
      <c r="I86" s="372"/>
      <c r="J86" s="411" t="e">
        <f aca="false">+J28+J41+J64+J62+I84</f>
        <v>#REF!</v>
      </c>
      <c r="K86" s="2"/>
      <c r="L86" s="2"/>
    </row>
    <row r="87" customFormat="false" ht="1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customFormat="false" ht="1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customFormat="false" ht="1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customFormat="false" ht="15" hidden="false" customHeight="false" outlineLevel="0" collapsed="false">
      <c r="A90" s="2"/>
      <c r="B90" s="2"/>
      <c r="C90" s="2"/>
      <c r="D90" s="2"/>
      <c r="E90" s="2"/>
      <c r="F90" s="2"/>
      <c r="G90" s="2" t="s">
        <v>204</v>
      </c>
      <c r="H90" s="2"/>
      <c r="I90" s="68" t="n">
        <f aca="false">+'PG&amp;E Corp. '!Q61+'Edison Int''l '!Q30+'Px - ISO '!J29+'Px - ISO '!J14</f>
        <v>1040783106.59</v>
      </c>
      <c r="J90" s="68" t="n">
        <f aca="false">+'PG&amp;E Corp. '!R61+'Edison Int''l '!R30+'Px - ISO '!K29+'Px - ISO '!K14</f>
        <v>-409840362.13</v>
      </c>
      <c r="K90" s="2"/>
      <c r="L90" s="2"/>
    </row>
    <row r="91" customFormat="false" ht="1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customFormat="false" ht="15" hidden="false" customHeight="false" outlineLevel="0" collapsed="false">
      <c r="A92" s="2"/>
      <c r="B92" s="2"/>
      <c r="C92" s="2"/>
      <c r="D92" s="2"/>
      <c r="E92" s="2"/>
      <c r="F92" s="2"/>
      <c r="G92" s="2" t="s">
        <v>204</v>
      </c>
      <c r="H92" s="2"/>
      <c r="I92" s="68" t="n">
        <f aca="false">+'PG&amp;E Corp. '!Q61+'Edison Int''l '!Q30+'Px - ISO '!J14+'Px - ISO '!J29</f>
        <v>1040783106.59</v>
      </c>
      <c r="J92" s="68" t="n">
        <f aca="false">+'PG&amp;E Corp. '!R61+'Edison Int''l '!R30+'Px - ISO '!K14+'Px - ISO '!K29</f>
        <v>-409840362.13</v>
      </c>
      <c r="K92" s="2"/>
      <c r="L92" s="2"/>
    </row>
    <row r="93" customFormat="false" ht="1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customFormat="false" ht="1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372"/>
      <c r="J94" s="2"/>
      <c r="K94" s="2"/>
      <c r="L94" s="2"/>
    </row>
    <row r="95" customFormat="false" ht="1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customFormat="false" ht="1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customFormat="false" ht="1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customFormat="false" ht="12.75" hidden="false" customHeight="false" outlineLevel="0" collapsed="false">
      <c r="A98" s="372"/>
      <c r="B98" s="372"/>
      <c r="C98" s="372"/>
      <c r="D98" s="372"/>
      <c r="E98" s="372"/>
      <c r="F98" s="372"/>
      <c r="G98" s="372"/>
      <c r="H98" s="372"/>
      <c r="I98" s="372"/>
      <c r="J98" s="372"/>
      <c r="K98" s="372"/>
    </row>
    <row r="99" customFormat="false" ht="12.75" hidden="false" customHeight="false" outlineLevel="0" collapsed="false">
      <c r="A99" s="372"/>
      <c r="B99" s="372"/>
      <c r="C99" s="372"/>
      <c r="D99" s="372"/>
      <c r="E99" s="372"/>
      <c r="F99" s="372"/>
      <c r="G99" s="372"/>
      <c r="H99" s="372"/>
      <c r="I99" s="372"/>
      <c r="J99" s="372"/>
      <c r="K99" s="372"/>
    </row>
    <row r="100" customFormat="false" ht="12.75" hidden="false" customHeight="false" outlineLevel="0" collapsed="false">
      <c r="A100" s="372"/>
      <c r="B100" s="372"/>
      <c r="C100" s="372"/>
      <c r="D100" s="372"/>
      <c r="E100" s="372"/>
      <c r="F100" s="372"/>
      <c r="G100" s="372"/>
      <c r="H100" s="372"/>
      <c r="I100" s="372"/>
      <c r="J100" s="372"/>
      <c r="K100" s="372"/>
    </row>
    <row r="101" customFormat="false" ht="12.75" hidden="false" customHeight="false" outlineLevel="0" collapsed="false">
      <c r="A101" s="372"/>
      <c r="B101" s="372"/>
      <c r="C101" s="372"/>
      <c r="D101" s="372"/>
      <c r="E101" s="372"/>
      <c r="F101" s="372"/>
      <c r="G101" s="372"/>
      <c r="H101" s="372"/>
      <c r="I101" s="372"/>
      <c r="J101" s="372"/>
      <c r="K101" s="372"/>
    </row>
    <row r="102" customFormat="false" ht="12.75" hidden="false" customHeight="false" outlineLevel="0" collapsed="false">
      <c r="A102" s="372"/>
      <c r="B102" s="372"/>
      <c r="C102" s="372"/>
      <c r="D102" s="372"/>
      <c r="E102" s="372"/>
      <c r="F102" s="372"/>
      <c r="G102" s="372"/>
      <c r="H102" s="372"/>
      <c r="I102" s="372"/>
      <c r="J102" s="372"/>
      <c r="K102" s="372"/>
    </row>
    <row r="103" customFormat="false" ht="12.75" hidden="false" customHeight="false" outlineLevel="0" collapsed="false">
      <c r="A103" s="372"/>
      <c r="B103" s="372"/>
      <c r="C103" s="372"/>
      <c r="D103" s="372"/>
      <c r="E103" s="372"/>
      <c r="F103" s="372"/>
      <c r="G103" s="372"/>
      <c r="H103" s="372"/>
      <c r="I103" s="372"/>
      <c r="J103" s="372"/>
      <c r="K103" s="372"/>
    </row>
    <row r="104" customFormat="false" ht="12.75" hidden="false" customHeight="false" outlineLevel="0" collapsed="false">
      <c r="A104" s="372"/>
      <c r="B104" s="372"/>
      <c r="C104" s="372"/>
      <c r="D104" s="372"/>
      <c r="E104" s="372"/>
      <c r="F104" s="372"/>
      <c r="G104" s="372"/>
      <c r="H104" s="372"/>
      <c r="I104" s="372"/>
      <c r="J104" s="372"/>
      <c r="K104" s="372"/>
    </row>
    <row r="105" customFormat="false" ht="12.75" hidden="false" customHeight="false" outlineLevel="0" collapsed="false">
      <c r="A105" s="372"/>
      <c r="B105" s="372"/>
      <c r="C105" s="372"/>
      <c r="D105" s="372"/>
      <c r="E105" s="372"/>
      <c r="F105" s="372"/>
      <c r="G105" s="372"/>
      <c r="H105" s="372"/>
      <c r="I105" s="372"/>
      <c r="J105" s="372"/>
      <c r="K105" s="372"/>
    </row>
    <row r="106" customFormat="false" ht="12.75" hidden="false" customHeight="false" outlineLevel="0" collapsed="false">
      <c r="A106" s="372"/>
      <c r="B106" s="372"/>
      <c r="C106" s="372"/>
      <c r="D106" s="372"/>
      <c r="E106" s="372"/>
      <c r="F106" s="372"/>
      <c r="G106" s="372"/>
      <c r="H106" s="372"/>
      <c r="I106" s="372"/>
      <c r="J106" s="372"/>
      <c r="K106" s="372"/>
    </row>
    <row r="107" customFormat="false" ht="12.75" hidden="false" customHeight="false" outlineLevel="0" collapsed="false">
      <c r="A107" s="372"/>
      <c r="B107" s="372"/>
      <c r="C107" s="372"/>
      <c r="D107" s="372"/>
      <c r="E107" s="372"/>
      <c r="F107" s="372"/>
      <c r="G107" s="372"/>
      <c r="H107" s="372"/>
      <c r="I107" s="372"/>
      <c r="J107" s="372"/>
      <c r="K107" s="372"/>
    </row>
    <row r="108" customFormat="false" ht="12.75" hidden="false" customHeight="false" outlineLevel="0" collapsed="false">
      <c r="A108" s="372"/>
      <c r="B108" s="372"/>
      <c r="C108" s="372"/>
      <c r="D108" s="372"/>
      <c r="E108" s="372"/>
      <c r="F108" s="372"/>
      <c r="G108" s="372"/>
      <c r="H108" s="372"/>
      <c r="I108" s="372"/>
      <c r="J108" s="372"/>
      <c r="K108" s="372"/>
    </row>
    <row r="109" customFormat="false" ht="12.75" hidden="false" customHeight="false" outlineLevel="0" collapsed="false">
      <c r="A109" s="372"/>
      <c r="B109" s="372"/>
      <c r="C109" s="372"/>
      <c r="D109" s="372"/>
      <c r="E109" s="372"/>
      <c r="F109" s="372"/>
      <c r="G109" s="372"/>
      <c r="H109" s="372"/>
      <c r="I109" s="372"/>
      <c r="J109" s="372"/>
      <c r="K109" s="372"/>
    </row>
    <row r="110" customFormat="false" ht="12.75" hidden="false" customHeight="false" outlineLevel="0" collapsed="false">
      <c r="A110" s="372"/>
      <c r="B110" s="372"/>
      <c r="C110" s="372"/>
      <c r="D110" s="372"/>
      <c r="E110" s="372"/>
      <c r="F110" s="372"/>
      <c r="G110" s="372"/>
      <c r="H110" s="372"/>
      <c r="I110" s="372"/>
      <c r="J110" s="372"/>
      <c r="K110" s="372"/>
    </row>
    <row r="111" customFormat="false" ht="12.75" hidden="false" customHeight="false" outlineLevel="0" collapsed="false">
      <c r="A111" s="372"/>
      <c r="B111" s="372"/>
      <c r="C111" s="372"/>
      <c r="D111" s="372"/>
      <c r="E111" s="372"/>
      <c r="F111" s="372"/>
      <c r="G111" s="372"/>
      <c r="H111" s="372"/>
      <c r="I111" s="372"/>
      <c r="J111" s="372"/>
      <c r="K111" s="372"/>
    </row>
    <row r="112" customFormat="false" ht="12.75" hidden="false" customHeight="false" outlineLevel="0" collapsed="false">
      <c r="A112" s="372"/>
      <c r="B112" s="372"/>
      <c r="C112" s="372"/>
      <c r="D112" s="372"/>
      <c r="E112" s="372"/>
      <c r="F112" s="372"/>
      <c r="G112" s="372"/>
      <c r="H112" s="372"/>
      <c r="I112" s="372"/>
      <c r="J112" s="372"/>
      <c r="K112" s="372"/>
    </row>
    <row r="113" customFormat="false" ht="12.75" hidden="false" customHeight="false" outlineLevel="0" collapsed="false">
      <c r="A113" s="372"/>
      <c r="B113" s="372"/>
      <c r="C113" s="372"/>
      <c r="D113" s="372"/>
      <c r="E113" s="372"/>
      <c r="F113" s="372"/>
      <c r="G113" s="372"/>
      <c r="H113" s="372"/>
      <c r="I113" s="372"/>
      <c r="J113" s="372"/>
      <c r="K113" s="372"/>
    </row>
    <row r="114" customFormat="false" ht="12.75" hidden="false" customHeight="false" outlineLevel="0" collapsed="false">
      <c r="A114" s="372"/>
      <c r="B114" s="372"/>
      <c r="C114" s="372"/>
      <c r="D114" s="372"/>
      <c r="E114" s="372"/>
      <c r="F114" s="372"/>
      <c r="G114" s="372"/>
      <c r="H114" s="372"/>
      <c r="I114" s="372"/>
      <c r="J114" s="372"/>
      <c r="K114" s="372"/>
    </row>
    <row r="115" customFormat="false" ht="12.75" hidden="false" customHeight="false" outlineLevel="0" collapsed="false">
      <c r="A115" s="372"/>
      <c r="B115" s="372"/>
      <c r="C115" s="372"/>
      <c r="D115" s="372"/>
      <c r="E115" s="372"/>
      <c r="F115" s="372"/>
      <c r="G115" s="372"/>
      <c r="H115" s="372"/>
      <c r="I115" s="372"/>
      <c r="J115" s="372"/>
      <c r="K115" s="372"/>
    </row>
    <row r="116" customFormat="false" ht="12.75" hidden="false" customHeight="false" outlineLevel="0" collapsed="false">
      <c r="A116" s="372"/>
      <c r="B116" s="372"/>
      <c r="C116" s="372"/>
      <c r="D116" s="372"/>
      <c r="E116" s="372"/>
      <c r="F116" s="372"/>
      <c r="G116" s="372"/>
      <c r="H116" s="372"/>
      <c r="I116" s="372"/>
      <c r="J116" s="372"/>
      <c r="K116" s="372"/>
    </row>
    <row r="117" customFormat="false" ht="12.75" hidden="false" customHeight="false" outlineLevel="0" collapsed="false">
      <c r="A117" s="372"/>
      <c r="B117" s="372"/>
      <c r="C117" s="372"/>
      <c r="D117" s="372"/>
      <c r="E117" s="372"/>
      <c r="F117" s="372"/>
      <c r="G117" s="372"/>
      <c r="H117" s="372"/>
      <c r="I117" s="372"/>
      <c r="J117" s="372"/>
      <c r="K117" s="372"/>
    </row>
    <row r="118" customFormat="false" ht="12.75" hidden="false" customHeight="false" outlineLevel="0" collapsed="false">
      <c r="A118" s="372"/>
      <c r="B118" s="372"/>
      <c r="C118" s="372"/>
      <c r="D118" s="372"/>
      <c r="E118" s="372"/>
      <c r="F118" s="372"/>
      <c r="G118" s="372"/>
      <c r="H118" s="372"/>
      <c r="I118" s="372"/>
      <c r="J118" s="372"/>
      <c r="K118" s="372"/>
    </row>
    <row r="119" customFormat="false" ht="12.75" hidden="false" customHeight="false" outlineLevel="0" collapsed="false">
      <c r="A119" s="372"/>
      <c r="B119" s="372"/>
      <c r="C119" s="372"/>
      <c r="D119" s="372"/>
      <c r="E119" s="372"/>
      <c r="F119" s="372"/>
      <c r="G119" s="372"/>
      <c r="H119" s="372"/>
      <c r="I119" s="372"/>
      <c r="J119" s="372"/>
      <c r="K119" s="372"/>
    </row>
    <row r="120" customFormat="false" ht="12.75" hidden="false" customHeight="false" outlineLevel="0" collapsed="false">
      <c r="A120" s="372"/>
      <c r="B120" s="372"/>
      <c r="C120" s="372"/>
      <c r="D120" s="372"/>
      <c r="E120" s="372"/>
      <c r="F120" s="372"/>
      <c r="G120" s="372"/>
      <c r="H120" s="372"/>
      <c r="I120" s="372"/>
      <c r="J120" s="372"/>
      <c r="K120" s="372"/>
    </row>
    <row r="121" customFormat="false" ht="12.75" hidden="false" customHeight="false" outlineLevel="0" collapsed="false">
      <c r="A121" s="372"/>
      <c r="B121" s="372"/>
      <c r="C121" s="372"/>
      <c r="D121" s="372"/>
      <c r="E121" s="372"/>
      <c r="F121" s="372"/>
      <c r="G121" s="372"/>
      <c r="H121" s="372"/>
      <c r="I121" s="372"/>
      <c r="J121" s="372"/>
      <c r="K121" s="372"/>
    </row>
    <row r="122" customFormat="false" ht="12.75" hidden="false" customHeight="false" outlineLevel="0" collapsed="false">
      <c r="A122" s="372"/>
      <c r="B122" s="372"/>
      <c r="C122" s="372"/>
      <c r="D122" s="372"/>
      <c r="E122" s="372"/>
      <c r="F122" s="372"/>
      <c r="G122" s="372"/>
      <c r="H122" s="372"/>
      <c r="I122" s="372"/>
      <c r="J122" s="372"/>
      <c r="K122" s="372"/>
    </row>
    <row r="123" customFormat="false" ht="12.75" hidden="false" customHeight="false" outlineLevel="0" collapsed="false">
      <c r="A123" s="372"/>
      <c r="B123" s="372"/>
      <c r="C123" s="372"/>
      <c r="D123" s="372"/>
      <c r="E123" s="372"/>
      <c r="F123" s="372"/>
      <c r="G123" s="372"/>
      <c r="H123" s="372"/>
      <c r="I123" s="372"/>
      <c r="J123" s="372"/>
      <c r="K123" s="372"/>
    </row>
    <row r="124" customFormat="false" ht="12.75" hidden="false" customHeight="false" outlineLevel="0" collapsed="false">
      <c r="A124" s="372"/>
      <c r="B124" s="372"/>
      <c r="C124" s="372"/>
      <c r="D124" s="372"/>
      <c r="E124" s="372"/>
      <c r="F124" s="372"/>
      <c r="G124" s="372"/>
      <c r="H124" s="372"/>
      <c r="I124" s="372"/>
      <c r="J124" s="372"/>
      <c r="K124" s="372"/>
    </row>
    <row r="125" customFormat="false" ht="12.75" hidden="false" customHeight="false" outlineLevel="0" collapsed="false">
      <c r="A125" s="372"/>
      <c r="B125" s="372"/>
      <c r="C125" s="372"/>
      <c r="D125" s="372"/>
      <c r="E125" s="372"/>
      <c r="F125" s="372"/>
      <c r="G125" s="372"/>
      <c r="H125" s="372"/>
      <c r="I125" s="372"/>
      <c r="J125" s="372"/>
      <c r="K125" s="372"/>
    </row>
    <row r="126" customFormat="false" ht="12.75" hidden="false" customHeight="false" outlineLevel="0" collapsed="false">
      <c r="A126" s="372"/>
      <c r="B126" s="372"/>
      <c r="C126" s="372"/>
      <c r="D126" s="372"/>
      <c r="E126" s="372"/>
      <c r="F126" s="372"/>
      <c r="G126" s="372"/>
      <c r="H126" s="372"/>
      <c r="I126" s="372"/>
      <c r="J126" s="372"/>
      <c r="K126" s="372"/>
    </row>
    <row r="127" customFormat="false" ht="12.75" hidden="false" customHeight="false" outlineLevel="0" collapsed="false">
      <c r="A127" s="372"/>
      <c r="B127" s="372"/>
      <c r="C127" s="372"/>
      <c r="D127" s="372"/>
      <c r="E127" s="372"/>
      <c r="F127" s="372"/>
      <c r="G127" s="372"/>
      <c r="H127" s="372"/>
      <c r="I127" s="372"/>
      <c r="J127" s="372"/>
      <c r="K127" s="372"/>
    </row>
    <row r="128" customFormat="false" ht="12.75" hidden="false" customHeight="false" outlineLevel="0" collapsed="false">
      <c r="A128" s="372"/>
      <c r="B128" s="372"/>
      <c r="C128" s="372"/>
      <c r="D128" s="372"/>
      <c r="E128" s="372"/>
      <c r="F128" s="372"/>
      <c r="G128" s="372"/>
      <c r="H128" s="372"/>
      <c r="I128" s="372"/>
      <c r="J128" s="372"/>
      <c r="K128" s="372"/>
    </row>
    <row r="129" customFormat="false" ht="12.75" hidden="false" customHeight="false" outlineLevel="0" collapsed="false">
      <c r="A129" s="372"/>
      <c r="B129" s="372"/>
      <c r="C129" s="372"/>
      <c r="D129" s="372"/>
      <c r="E129" s="372"/>
      <c r="F129" s="372"/>
      <c r="G129" s="372"/>
      <c r="H129" s="372"/>
      <c r="I129" s="372"/>
      <c r="J129" s="372"/>
      <c r="K129" s="372"/>
    </row>
    <row r="130" customFormat="false" ht="12.75" hidden="false" customHeight="false" outlineLevel="0" collapsed="false">
      <c r="A130" s="372"/>
      <c r="B130" s="372"/>
      <c r="C130" s="372"/>
      <c r="D130" s="372"/>
      <c r="E130" s="372"/>
      <c r="F130" s="372"/>
      <c r="G130" s="372"/>
      <c r="H130" s="372"/>
      <c r="I130" s="372"/>
      <c r="J130" s="372"/>
      <c r="K130" s="372"/>
    </row>
    <row r="131" customFormat="false" ht="12.75" hidden="false" customHeight="false" outlineLevel="0" collapsed="false">
      <c r="A131" s="372"/>
      <c r="B131" s="372"/>
      <c r="C131" s="372"/>
      <c r="D131" s="372"/>
      <c r="E131" s="372"/>
      <c r="F131" s="372"/>
      <c r="G131" s="372"/>
      <c r="H131" s="372"/>
      <c r="I131" s="372"/>
      <c r="J131" s="372"/>
      <c r="K131" s="372"/>
    </row>
    <row r="132" customFormat="false" ht="12.75" hidden="false" customHeight="false" outlineLevel="0" collapsed="false">
      <c r="A132" s="372"/>
      <c r="B132" s="372"/>
      <c r="C132" s="372"/>
      <c r="D132" s="372"/>
      <c r="E132" s="372"/>
      <c r="F132" s="372"/>
      <c r="G132" s="372"/>
      <c r="H132" s="372"/>
      <c r="I132" s="372"/>
      <c r="J132" s="372"/>
      <c r="K132" s="372"/>
    </row>
    <row r="133" customFormat="false" ht="12.75" hidden="false" customHeight="false" outlineLevel="0" collapsed="false">
      <c r="A133" s="372"/>
      <c r="B133" s="372"/>
      <c r="C133" s="372"/>
      <c r="D133" s="372"/>
      <c r="E133" s="372"/>
      <c r="F133" s="372"/>
      <c r="G133" s="372"/>
      <c r="H133" s="372"/>
      <c r="I133" s="372"/>
      <c r="J133" s="372"/>
      <c r="K133" s="372"/>
    </row>
    <row r="134" customFormat="false" ht="12.75" hidden="false" customHeight="false" outlineLevel="0" collapsed="false">
      <c r="A134" s="372"/>
      <c r="B134" s="372"/>
      <c r="C134" s="372"/>
      <c r="D134" s="372"/>
      <c r="E134" s="372"/>
      <c r="F134" s="372"/>
      <c r="G134" s="372"/>
      <c r="H134" s="372"/>
      <c r="I134" s="372"/>
      <c r="J134" s="372"/>
      <c r="K134" s="372"/>
    </row>
    <row r="135" customFormat="false" ht="12.75" hidden="false" customHeight="false" outlineLevel="0" collapsed="false">
      <c r="A135" s="372"/>
      <c r="B135" s="372"/>
      <c r="C135" s="372"/>
      <c r="D135" s="372"/>
      <c r="E135" s="372"/>
      <c r="F135" s="372"/>
      <c r="G135" s="372"/>
      <c r="H135" s="372"/>
      <c r="I135" s="372"/>
      <c r="J135" s="372"/>
      <c r="K135" s="372"/>
    </row>
    <row r="136" customFormat="false" ht="12.75" hidden="false" customHeight="false" outlineLevel="0" collapsed="false">
      <c r="A136" s="372"/>
      <c r="B136" s="372"/>
      <c r="C136" s="372"/>
      <c r="D136" s="372"/>
      <c r="E136" s="372"/>
      <c r="F136" s="372"/>
      <c r="G136" s="372"/>
      <c r="H136" s="372"/>
      <c r="I136" s="372"/>
      <c r="J136" s="372"/>
      <c r="K136" s="372"/>
    </row>
    <row r="137" customFormat="false" ht="12.75" hidden="false" customHeight="false" outlineLevel="0" collapsed="false">
      <c r="A137" s="372"/>
      <c r="B137" s="372"/>
      <c r="C137" s="372"/>
      <c r="D137" s="372"/>
      <c r="E137" s="372"/>
      <c r="F137" s="372"/>
      <c r="G137" s="372"/>
      <c r="H137" s="372"/>
      <c r="I137" s="372"/>
      <c r="J137" s="372"/>
      <c r="K137" s="372"/>
    </row>
    <row r="138" customFormat="false" ht="12.75" hidden="false" customHeight="false" outlineLevel="0" collapsed="false">
      <c r="A138" s="372"/>
      <c r="B138" s="372"/>
      <c r="C138" s="372"/>
      <c r="D138" s="372"/>
      <c r="E138" s="372"/>
      <c r="F138" s="372"/>
      <c r="G138" s="372"/>
      <c r="H138" s="372"/>
      <c r="I138" s="372"/>
      <c r="J138" s="372"/>
      <c r="K138" s="372"/>
    </row>
    <row r="139" customFormat="false" ht="12.75" hidden="false" customHeight="false" outlineLevel="0" collapsed="false">
      <c r="A139" s="372"/>
      <c r="B139" s="372"/>
      <c r="C139" s="372"/>
      <c r="D139" s="372"/>
      <c r="E139" s="372"/>
      <c r="F139" s="372"/>
      <c r="G139" s="372"/>
      <c r="H139" s="372"/>
      <c r="I139" s="372"/>
      <c r="J139" s="372"/>
      <c r="K139" s="372"/>
    </row>
    <row r="140" customFormat="false" ht="12.75" hidden="false" customHeight="false" outlineLevel="0" collapsed="false">
      <c r="A140" s="372"/>
      <c r="B140" s="372"/>
      <c r="C140" s="372"/>
      <c r="D140" s="372"/>
      <c r="E140" s="372"/>
      <c r="F140" s="372"/>
      <c r="G140" s="372"/>
      <c r="H140" s="372"/>
      <c r="I140" s="372"/>
      <c r="J140" s="372"/>
      <c r="K140" s="372"/>
    </row>
    <row r="141" customFormat="false" ht="12.75" hidden="false" customHeight="false" outlineLevel="0" collapsed="false">
      <c r="A141" s="372"/>
      <c r="B141" s="372"/>
      <c r="C141" s="372"/>
      <c r="D141" s="372"/>
      <c r="E141" s="372"/>
      <c r="F141" s="372"/>
      <c r="G141" s="372"/>
      <c r="H141" s="372"/>
      <c r="I141" s="372"/>
      <c r="J141" s="372"/>
      <c r="K141" s="372"/>
    </row>
    <row r="142" customFormat="false" ht="12.75" hidden="false" customHeight="false" outlineLevel="0" collapsed="false">
      <c r="A142" s="372"/>
      <c r="B142" s="372"/>
      <c r="C142" s="372"/>
      <c r="D142" s="372"/>
      <c r="E142" s="372"/>
      <c r="F142" s="372"/>
      <c r="G142" s="372"/>
      <c r="H142" s="372"/>
      <c r="I142" s="372"/>
      <c r="J142" s="372"/>
      <c r="K142" s="372"/>
    </row>
    <row r="143" customFormat="false" ht="12.75" hidden="false" customHeight="false" outlineLevel="0" collapsed="false">
      <c r="A143" s="372"/>
      <c r="B143" s="372"/>
      <c r="C143" s="372"/>
      <c r="D143" s="372"/>
      <c r="E143" s="372"/>
      <c r="F143" s="372"/>
      <c r="G143" s="372"/>
      <c r="H143" s="372"/>
      <c r="I143" s="372"/>
      <c r="J143" s="372"/>
      <c r="K143" s="372"/>
    </row>
    <row r="144" customFormat="false" ht="12.75" hidden="false" customHeight="false" outlineLevel="0" collapsed="false">
      <c r="A144" s="372"/>
      <c r="B144" s="372"/>
      <c r="C144" s="372"/>
      <c r="D144" s="372"/>
      <c r="E144" s="372"/>
      <c r="F144" s="372"/>
      <c r="G144" s="372"/>
      <c r="H144" s="372"/>
      <c r="I144" s="372"/>
      <c r="J144" s="372"/>
      <c r="K144" s="372"/>
    </row>
    <row r="145" customFormat="false" ht="12.75" hidden="false" customHeight="false" outlineLevel="0" collapsed="false">
      <c r="A145" s="372"/>
      <c r="B145" s="372"/>
      <c r="C145" s="372"/>
      <c r="D145" s="372"/>
      <c r="E145" s="372"/>
      <c r="F145" s="372"/>
      <c r="G145" s="372"/>
      <c r="H145" s="372"/>
      <c r="I145" s="372"/>
      <c r="J145" s="372"/>
      <c r="K145" s="372"/>
    </row>
    <row r="146" customFormat="false" ht="12.75" hidden="false" customHeight="false" outlineLevel="0" collapsed="false">
      <c r="A146" s="372"/>
      <c r="B146" s="372"/>
      <c r="C146" s="372"/>
      <c r="D146" s="372"/>
      <c r="E146" s="372"/>
      <c r="F146" s="372"/>
      <c r="G146" s="372"/>
      <c r="H146" s="372"/>
      <c r="I146" s="372"/>
      <c r="J146" s="372"/>
      <c r="K146" s="372"/>
    </row>
    <row r="147" customFormat="false" ht="12.75" hidden="false" customHeight="false" outlineLevel="0" collapsed="false">
      <c r="A147" s="372"/>
      <c r="B147" s="372"/>
      <c r="C147" s="372"/>
      <c r="D147" s="372"/>
      <c r="E147" s="372"/>
      <c r="F147" s="372"/>
      <c r="G147" s="372"/>
      <c r="H147" s="372"/>
      <c r="I147" s="372"/>
      <c r="J147" s="372"/>
      <c r="K147" s="372"/>
    </row>
    <row r="148" customFormat="false" ht="12.75" hidden="false" customHeight="false" outlineLevel="0" collapsed="false">
      <c r="A148" s="372"/>
      <c r="B148" s="372"/>
      <c r="C148" s="372"/>
      <c r="D148" s="372"/>
      <c r="E148" s="372"/>
      <c r="F148" s="372"/>
      <c r="G148" s="372"/>
      <c r="H148" s="372"/>
      <c r="I148" s="372"/>
      <c r="J148" s="372"/>
      <c r="K148" s="372"/>
    </row>
    <row r="149" customFormat="false" ht="12.75" hidden="false" customHeight="false" outlineLevel="0" collapsed="false">
      <c r="A149" s="372"/>
      <c r="B149" s="372"/>
      <c r="C149" s="372"/>
      <c r="D149" s="372"/>
      <c r="E149" s="372"/>
      <c r="F149" s="372"/>
      <c r="G149" s="372"/>
      <c r="H149" s="372"/>
      <c r="I149" s="372"/>
      <c r="J149" s="372"/>
      <c r="K149" s="372"/>
    </row>
    <row r="150" customFormat="false" ht="12.75" hidden="false" customHeight="false" outlineLevel="0" collapsed="false">
      <c r="A150" s="372"/>
      <c r="B150" s="372"/>
      <c r="C150" s="372"/>
      <c r="D150" s="372"/>
      <c r="E150" s="372"/>
      <c r="F150" s="372"/>
      <c r="G150" s="372"/>
      <c r="H150" s="372"/>
      <c r="I150" s="372"/>
      <c r="J150" s="372"/>
      <c r="K150" s="372"/>
    </row>
    <row r="151" customFormat="false" ht="12.75" hidden="false" customHeight="false" outlineLevel="0" collapsed="false">
      <c r="A151" s="372"/>
      <c r="B151" s="372"/>
      <c r="C151" s="372"/>
      <c r="D151" s="372"/>
      <c r="E151" s="372"/>
      <c r="F151" s="372"/>
      <c r="G151" s="372"/>
      <c r="H151" s="372"/>
      <c r="I151" s="372"/>
      <c r="J151" s="372"/>
      <c r="K151" s="372"/>
    </row>
    <row r="152" customFormat="false" ht="12.75" hidden="false" customHeight="false" outlineLevel="0" collapsed="false">
      <c r="A152" s="372"/>
      <c r="B152" s="372"/>
      <c r="C152" s="372"/>
      <c r="D152" s="372"/>
      <c r="E152" s="372"/>
      <c r="F152" s="372"/>
      <c r="G152" s="372"/>
      <c r="H152" s="372"/>
      <c r="I152" s="372"/>
      <c r="J152" s="372"/>
      <c r="K152" s="372"/>
    </row>
    <row r="153" customFormat="false" ht="12.75" hidden="false" customHeight="false" outlineLevel="0" collapsed="false">
      <c r="A153" s="372"/>
      <c r="B153" s="372"/>
      <c r="C153" s="372"/>
      <c r="D153" s="372"/>
      <c r="E153" s="372"/>
      <c r="F153" s="372"/>
      <c r="G153" s="372"/>
      <c r="H153" s="372"/>
      <c r="I153" s="372"/>
      <c r="J153" s="372"/>
      <c r="K153" s="372"/>
    </row>
    <row r="154" customFormat="false" ht="12.75" hidden="false" customHeight="false" outlineLevel="0" collapsed="false">
      <c r="A154" s="372"/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customFormat="false" ht="12.75" hidden="false" customHeight="false" outlineLevel="0" collapsed="false">
      <c r="A155" s="372"/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</row>
    <row r="156" customFormat="false" ht="12.75" hidden="false" customHeight="false" outlineLevel="0" collapsed="false">
      <c r="A156" s="372"/>
      <c r="B156" s="372"/>
      <c r="C156" s="372"/>
      <c r="D156" s="372"/>
      <c r="E156" s="372"/>
      <c r="F156" s="372"/>
      <c r="G156" s="372"/>
      <c r="H156" s="372"/>
      <c r="I156" s="372"/>
      <c r="J156" s="372"/>
      <c r="K156" s="372"/>
    </row>
    <row r="157" customFormat="false" ht="12.75" hidden="false" customHeight="false" outlineLevel="0" collapsed="false">
      <c r="A157" s="372"/>
      <c r="B157" s="372"/>
      <c r="C157" s="372"/>
      <c r="D157" s="372"/>
      <c r="E157" s="372"/>
      <c r="F157" s="372"/>
      <c r="G157" s="372"/>
      <c r="H157" s="372"/>
      <c r="I157" s="372"/>
      <c r="J157" s="372"/>
      <c r="K157" s="372"/>
    </row>
    <row r="158" customFormat="false" ht="12.75" hidden="false" customHeight="false" outlineLevel="0" collapsed="false">
      <c r="A158" s="372"/>
      <c r="B158" s="372"/>
      <c r="C158" s="372"/>
      <c r="D158" s="372"/>
      <c r="E158" s="372"/>
      <c r="F158" s="372"/>
      <c r="G158" s="372"/>
      <c r="H158" s="372"/>
      <c r="I158" s="372"/>
      <c r="J158" s="372"/>
      <c r="K158" s="372"/>
    </row>
    <row r="159" customFormat="false" ht="12.75" hidden="false" customHeight="false" outlineLevel="0" collapsed="false">
      <c r="A159" s="372"/>
      <c r="B159" s="372"/>
      <c r="C159" s="372"/>
      <c r="D159" s="372"/>
      <c r="E159" s="372"/>
      <c r="F159" s="372"/>
      <c r="G159" s="372"/>
      <c r="H159" s="372"/>
      <c r="I159" s="372"/>
      <c r="J159" s="372"/>
      <c r="K159" s="372"/>
    </row>
    <row r="160" customFormat="false" ht="12.75" hidden="false" customHeight="false" outlineLevel="0" collapsed="false">
      <c r="A160" s="372"/>
      <c r="B160" s="372"/>
      <c r="C160" s="372"/>
      <c r="D160" s="372"/>
      <c r="E160" s="372"/>
      <c r="F160" s="372"/>
      <c r="G160" s="372"/>
      <c r="H160" s="372"/>
      <c r="I160" s="372"/>
      <c r="J160" s="372"/>
      <c r="K160" s="372"/>
    </row>
    <row r="161" customFormat="false" ht="12.75" hidden="false" customHeight="false" outlineLevel="0" collapsed="false">
      <c r="A161" s="372"/>
      <c r="B161" s="372"/>
      <c r="C161" s="372"/>
      <c r="D161" s="372"/>
      <c r="E161" s="372"/>
      <c r="F161" s="372"/>
      <c r="G161" s="372"/>
      <c r="H161" s="372"/>
      <c r="I161" s="372"/>
      <c r="J161" s="372"/>
      <c r="K161" s="372"/>
    </row>
    <row r="162" customFormat="false" ht="12.75" hidden="false" customHeight="false" outlineLevel="0" collapsed="false">
      <c r="A162" s="372"/>
      <c r="B162" s="372"/>
      <c r="C162" s="372"/>
      <c r="D162" s="372"/>
      <c r="E162" s="372"/>
      <c r="F162" s="372"/>
      <c r="G162" s="372"/>
      <c r="H162" s="372"/>
      <c r="I162" s="372"/>
      <c r="J162" s="372"/>
      <c r="K162" s="372"/>
    </row>
    <row r="163" customFormat="false" ht="12.75" hidden="false" customHeight="false" outlineLevel="0" collapsed="false">
      <c r="A163" s="372"/>
      <c r="B163" s="372"/>
      <c r="C163" s="372"/>
      <c r="D163" s="372"/>
      <c r="E163" s="372"/>
      <c r="F163" s="372"/>
      <c r="G163" s="372"/>
      <c r="H163" s="372"/>
      <c r="I163" s="372"/>
      <c r="J163" s="372"/>
      <c r="K163" s="372"/>
    </row>
    <row r="164" customFormat="false" ht="12.75" hidden="false" customHeight="false" outlineLevel="0" collapsed="false">
      <c r="A164" s="372"/>
      <c r="B164" s="372"/>
      <c r="C164" s="372"/>
      <c r="D164" s="372"/>
      <c r="E164" s="372"/>
      <c r="F164" s="372"/>
      <c r="G164" s="372"/>
      <c r="H164" s="372"/>
      <c r="I164" s="372"/>
      <c r="J164" s="372"/>
      <c r="K164" s="372"/>
    </row>
    <row r="165" customFormat="false" ht="12.75" hidden="false" customHeight="false" outlineLevel="0" collapsed="false">
      <c r="A165" s="372"/>
      <c r="B165" s="372"/>
      <c r="C165" s="372"/>
      <c r="D165" s="372"/>
      <c r="E165" s="372"/>
      <c r="F165" s="372"/>
      <c r="G165" s="372"/>
      <c r="H165" s="372"/>
      <c r="I165" s="372"/>
      <c r="J165" s="372"/>
      <c r="K165" s="372"/>
    </row>
    <row r="166" customFormat="false" ht="12.75" hidden="false" customHeight="false" outlineLevel="0" collapsed="false">
      <c r="A166" s="372"/>
      <c r="B166" s="372"/>
      <c r="C166" s="372"/>
      <c r="D166" s="372"/>
      <c r="E166" s="372"/>
      <c r="F166" s="372"/>
      <c r="G166" s="372"/>
      <c r="H166" s="372"/>
      <c r="I166" s="372"/>
      <c r="J166" s="372"/>
      <c r="K166" s="372"/>
    </row>
    <row r="167" customFormat="false" ht="12.75" hidden="false" customHeight="false" outlineLevel="0" collapsed="false">
      <c r="A167" s="372"/>
      <c r="B167" s="372"/>
      <c r="C167" s="372"/>
      <c r="D167" s="372"/>
      <c r="E167" s="372"/>
      <c r="F167" s="372"/>
      <c r="G167" s="372"/>
      <c r="H167" s="372"/>
      <c r="I167" s="372"/>
      <c r="J167" s="372"/>
      <c r="K167" s="372"/>
    </row>
    <row r="168" customFormat="false" ht="12.75" hidden="false" customHeight="false" outlineLevel="0" collapsed="false">
      <c r="A168" s="372"/>
      <c r="B168" s="372"/>
      <c r="C168" s="372"/>
      <c r="D168" s="372"/>
      <c r="E168" s="372"/>
      <c r="F168" s="372"/>
      <c r="G168" s="372"/>
      <c r="H168" s="372"/>
      <c r="I168" s="372"/>
      <c r="J168" s="372"/>
      <c r="K168" s="372"/>
    </row>
    <row r="169" customFormat="false" ht="12.75" hidden="false" customHeight="false" outlineLevel="0" collapsed="false">
      <c r="A169" s="372"/>
      <c r="B169" s="372"/>
      <c r="C169" s="372"/>
      <c r="D169" s="372"/>
      <c r="E169" s="372"/>
      <c r="F169" s="372"/>
      <c r="G169" s="372"/>
      <c r="H169" s="372"/>
      <c r="I169" s="372"/>
      <c r="J169" s="372"/>
      <c r="K169" s="372"/>
    </row>
    <row r="170" customFormat="false" ht="12.75" hidden="false" customHeight="false" outlineLevel="0" collapsed="false">
      <c r="A170" s="372"/>
      <c r="B170" s="372"/>
      <c r="C170" s="372"/>
      <c r="D170" s="372"/>
      <c r="E170" s="372"/>
      <c r="F170" s="372"/>
      <c r="G170" s="372"/>
      <c r="H170" s="372"/>
      <c r="I170" s="372"/>
      <c r="J170" s="372"/>
      <c r="K170" s="372"/>
    </row>
    <row r="171" customFormat="false" ht="12.75" hidden="false" customHeight="false" outlineLevel="0" collapsed="false">
      <c r="A171" s="372"/>
      <c r="B171" s="372"/>
      <c r="C171" s="372"/>
      <c r="D171" s="372"/>
      <c r="E171" s="372"/>
      <c r="F171" s="372"/>
      <c r="G171" s="372"/>
      <c r="H171" s="372"/>
      <c r="I171" s="372"/>
      <c r="J171" s="372"/>
      <c r="K171" s="372"/>
    </row>
    <row r="172" customFormat="false" ht="12.75" hidden="false" customHeight="false" outlineLevel="0" collapsed="false">
      <c r="A172" s="372"/>
      <c r="B172" s="372"/>
      <c r="C172" s="372"/>
      <c r="D172" s="372"/>
      <c r="E172" s="372"/>
      <c r="F172" s="372"/>
      <c r="G172" s="372"/>
      <c r="H172" s="372"/>
      <c r="I172" s="372"/>
      <c r="J172" s="372"/>
      <c r="K172" s="372"/>
    </row>
    <row r="173" customFormat="false" ht="12.75" hidden="false" customHeight="false" outlineLevel="0" collapsed="false">
      <c r="A173" s="372"/>
      <c r="B173" s="372"/>
      <c r="C173" s="372"/>
      <c r="D173" s="372"/>
      <c r="E173" s="372"/>
      <c r="F173" s="372"/>
      <c r="G173" s="372"/>
      <c r="H173" s="372"/>
      <c r="I173" s="372"/>
      <c r="J173" s="372"/>
      <c r="K173" s="372"/>
    </row>
    <row r="174" customFormat="false" ht="12.75" hidden="false" customHeight="false" outlineLevel="0" collapsed="false">
      <c r="A174" s="372"/>
      <c r="B174" s="372"/>
      <c r="C174" s="372"/>
      <c r="D174" s="372"/>
      <c r="E174" s="372"/>
      <c r="F174" s="372"/>
      <c r="G174" s="372"/>
      <c r="H174" s="372"/>
      <c r="I174" s="372"/>
      <c r="J174" s="372"/>
      <c r="K174" s="372"/>
    </row>
    <row r="175" customFormat="false" ht="12.75" hidden="false" customHeight="false" outlineLevel="0" collapsed="false">
      <c r="A175" s="372"/>
      <c r="B175" s="372"/>
      <c r="C175" s="372"/>
      <c r="D175" s="372"/>
      <c r="E175" s="372"/>
      <c r="F175" s="372"/>
      <c r="G175" s="372"/>
      <c r="H175" s="372"/>
      <c r="I175" s="372"/>
      <c r="J175" s="372"/>
      <c r="K175" s="372"/>
    </row>
    <row r="176" customFormat="false" ht="12.75" hidden="false" customHeight="false" outlineLevel="0" collapsed="false">
      <c r="A176" s="372"/>
      <c r="B176" s="372"/>
      <c r="C176" s="372"/>
      <c r="D176" s="372"/>
      <c r="E176" s="372"/>
      <c r="F176" s="372"/>
      <c r="G176" s="372"/>
      <c r="H176" s="372"/>
      <c r="I176" s="372"/>
      <c r="J176" s="372"/>
      <c r="K176" s="372"/>
    </row>
    <row r="177" customFormat="false" ht="12.75" hidden="false" customHeight="false" outlineLevel="0" collapsed="false">
      <c r="A177" s="372"/>
      <c r="B177" s="372"/>
      <c r="C177" s="372"/>
      <c r="D177" s="372"/>
      <c r="E177" s="372"/>
      <c r="F177" s="372"/>
      <c r="G177" s="372"/>
      <c r="H177" s="372"/>
      <c r="I177" s="372"/>
      <c r="J177" s="372"/>
      <c r="K177" s="372"/>
    </row>
    <row r="178" customFormat="false" ht="12.75" hidden="false" customHeight="false" outlineLevel="0" collapsed="false">
      <c r="A178" s="372"/>
      <c r="B178" s="372"/>
      <c r="C178" s="372"/>
      <c r="D178" s="372"/>
      <c r="E178" s="372"/>
      <c r="F178" s="372"/>
      <c r="G178" s="372"/>
      <c r="H178" s="372"/>
      <c r="I178" s="372"/>
      <c r="J178" s="372"/>
      <c r="K178" s="372"/>
    </row>
    <row r="179" customFormat="false" ht="12.75" hidden="false" customHeight="false" outlineLevel="0" collapsed="false">
      <c r="A179" s="372"/>
      <c r="B179" s="372"/>
      <c r="C179" s="372"/>
      <c r="D179" s="372"/>
      <c r="E179" s="372"/>
      <c r="F179" s="372"/>
      <c r="G179" s="372"/>
      <c r="H179" s="372"/>
      <c r="I179" s="372"/>
      <c r="J179" s="372"/>
      <c r="K179" s="372"/>
    </row>
    <row r="180" customFormat="false" ht="12.75" hidden="false" customHeight="false" outlineLevel="0" collapsed="false">
      <c r="A180" s="372"/>
      <c r="B180" s="372"/>
      <c r="C180" s="372"/>
      <c r="D180" s="372"/>
      <c r="E180" s="372"/>
      <c r="F180" s="372"/>
      <c r="G180" s="372"/>
      <c r="H180" s="372"/>
      <c r="I180" s="372"/>
      <c r="J180" s="372"/>
      <c r="K180" s="372"/>
    </row>
    <row r="181" customFormat="false" ht="12.75" hidden="false" customHeight="false" outlineLevel="0" collapsed="false">
      <c r="A181" s="372"/>
      <c r="B181" s="372"/>
      <c r="C181" s="372"/>
      <c r="D181" s="372"/>
      <c r="E181" s="372"/>
      <c r="F181" s="372"/>
      <c r="G181" s="372"/>
      <c r="H181" s="372"/>
      <c r="I181" s="372"/>
      <c r="J181" s="372"/>
      <c r="K181" s="372"/>
    </row>
    <row r="182" customFormat="false" ht="12.75" hidden="false" customHeight="false" outlineLevel="0" collapsed="false">
      <c r="A182" s="372"/>
      <c r="B182" s="372"/>
      <c r="C182" s="372"/>
      <c r="D182" s="372"/>
      <c r="E182" s="372"/>
      <c r="F182" s="372"/>
      <c r="G182" s="372"/>
      <c r="H182" s="372"/>
      <c r="I182" s="372"/>
      <c r="J182" s="372"/>
      <c r="K182" s="372"/>
    </row>
    <row r="183" customFormat="false" ht="12.75" hidden="false" customHeight="false" outlineLevel="0" collapsed="false">
      <c r="A183" s="372"/>
      <c r="B183" s="372"/>
      <c r="C183" s="372"/>
      <c r="D183" s="372"/>
      <c r="E183" s="372"/>
      <c r="F183" s="372"/>
      <c r="G183" s="372"/>
      <c r="H183" s="372"/>
      <c r="I183" s="372"/>
      <c r="J183" s="372"/>
      <c r="K183" s="372"/>
    </row>
    <row r="184" customFormat="false" ht="12.75" hidden="false" customHeight="false" outlineLevel="0" collapsed="false">
      <c r="A184" s="372"/>
      <c r="B184" s="372"/>
      <c r="C184" s="372"/>
      <c r="D184" s="372"/>
      <c r="E184" s="372"/>
      <c r="F184" s="372"/>
      <c r="G184" s="372"/>
      <c r="H184" s="372"/>
      <c r="I184" s="372"/>
      <c r="J184" s="372"/>
      <c r="K184" s="372"/>
    </row>
    <row r="185" customFormat="false" ht="12.75" hidden="false" customHeight="false" outlineLevel="0" collapsed="false">
      <c r="A185" s="372"/>
      <c r="B185" s="372"/>
      <c r="C185" s="372"/>
      <c r="D185" s="372"/>
      <c r="E185" s="372"/>
      <c r="F185" s="372"/>
      <c r="G185" s="372"/>
      <c r="H185" s="372"/>
      <c r="I185" s="372"/>
      <c r="J185" s="372"/>
      <c r="K185" s="372"/>
    </row>
    <row r="186" customFormat="false" ht="12.75" hidden="false" customHeight="false" outlineLevel="0" collapsed="false">
      <c r="A186" s="372"/>
      <c r="B186" s="372"/>
      <c r="C186" s="372"/>
      <c r="D186" s="372"/>
      <c r="E186" s="372"/>
      <c r="F186" s="372"/>
      <c r="G186" s="372"/>
      <c r="H186" s="372"/>
      <c r="I186" s="372"/>
      <c r="J186" s="372"/>
      <c r="K186" s="372"/>
    </row>
    <row r="187" customFormat="false" ht="12.75" hidden="false" customHeight="false" outlineLevel="0" collapsed="false">
      <c r="A187" s="372"/>
      <c r="B187" s="372"/>
      <c r="C187" s="372"/>
      <c r="D187" s="372"/>
      <c r="E187" s="372"/>
      <c r="F187" s="372"/>
      <c r="G187" s="372"/>
      <c r="H187" s="372"/>
      <c r="I187" s="372"/>
      <c r="J187" s="372"/>
      <c r="K187" s="372"/>
    </row>
    <row r="188" customFormat="false" ht="12.75" hidden="false" customHeight="false" outlineLevel="0" collapsed="false">
      <c r="A188" s="372"/>
      <c r="B188" s="372"/>
      <c r="C188" s="372"/>
      <c r="D188" s="372"/>
      <c r="E188" s="372"/>
      <c r="F188" s="372"/>
      <c r="G188" s="372"/>
      <c r="H188" s="372"/>
      <c r="I188" s="372"/>
      <c r="J188" s="372"/>
      <c r="K188" s="372"/>
    </row>
    <row r="189" customFormat="false" ht="12.75" hidden="false" customHeight="false" outlineLevel="0" collapsed="false">
      <c r="A189" s="372"/>
      <c r="B189" s="372"/>
      <c r="C189" s="372"/>
      <c r="D189" s="372"/>
      <c r="E189" s="372"/>
      <c r="F189" s="372"/>
      <c r="G189" s="372"/>
      <c r="H189" s="372"/>
      <c r="I189" s="372"/>
      <c r="J189" s="372"/>
      <c r="K189" s="372"/>
    </row>
    <row r="190" customFormat="false" ht="12.75" hidden="false" customHeight="false" outlineLevel="0" collapsed="false">
      <c r="A190" s="372"/>
      <c r="B190" s="372"/>
      <c r="C190" s="372"/>
      <c r="D190" s="372"/>
      <c r="E190" s="372"/>
      <c r="F190" s="372"/>
      <c r="G190" s="372"/>
      <c r="H190" s="372"/>
      <c r="I190" s="372"/>
      <c r="J190" s="372"/>
      <c r="K190" s="372"/>
    </row>
    <row r="191" customFormat="false" ht="12.75" hidden="false" customHeight="false" outlineLevel="0" collapsed="false">
      <c r="A191" s="372"/>
      <c r="B191" s="372"/>
      <c r="C191" s="372"/>
      <c r="D191" s="372"/>
      <c r="E191" s="372"/>
      <c r="F191" s="372"/>
      <c r="G191" s="372"/>
      <c r="H191" s="372"/>
      <c r="I191" s="372"/>
      <c r="J191" s="372"/>
      <c r="K191" s="372"/>
    </row>
    <row r="192" customFormat="false" ht="12.75" hidden="false" customHeight="false" outlineLevel="0" collapsed="false">
      <c r="A192" s="372"/>
      <c r="B192" s="372"/>
      <c r="C192" s="372"/>
      <c r="D192" s="372"/>
      <c r="E192" s="372"/>
      <c r="F192" s="372"/>
      <c r="G192" s="372"/>
      <c r="H192" s="372"/>
      <c r="I192" s="372"/>
      <c r="J192" s="372"/>
      <c r="K192" s="372"/>
    </row>
    <row r="193" customFormat="false" ht="12.75" hidden="false" customHeight="false" outlineLevel="0" collapsed="false">
      <c r="A193" s="372"/>
      <c r="B193" s="372"/>
      <c r="C193" s="372"/>
      <c r="D193" s="372"/>
      <c r="E193" s="372"/>
      <c r="F193" s="372"/>
      <c r="G193" s="372"/>
      <c r="H193" s="372"/>
      <c r="I193" s="372"/>
      <c r="J193" s="372"/>
      <c r="K193" s="372"/>
    </row>
    <row r="194" customFormat="false" ht="12.75" hidden="false" customHeight="false" outlineLevel="0" collapsed="false">
      <c r="A194" s="372"/>
      <c r="B194" s="372"/>
      <c r="C194" s="372"/>
      <c r="D194" s="372"/>
      <c r="E194" s="372"/>
      <c r="F194" s="372"/>
      <c r="G194" s="372"/>
      <c r="H194" s="372"/>
      <c r="I194" s="372"/>
      <c r="J194" s="372"/>
      <c r="K194" s="372"/>
    </row>
    <row r="195" customFormat="false" ht="12.75" hidden="false" customHeight="false" outlineLevel="0" collapsed="false">
      <c r="A195" s="372"/>
      <c r="B195" s="372"/>
      <c r="C195" s="372"/>
      <c r="D195" s="372"/>
      <c r="E195" s="372"/>
      <c r="F195" s="372"/>
      <c r="G195" s="372"/>
      <c r="H195" s="372"/>
      <c r="I195" s="372"/>
      <c r="J195" s="372"/>
      <c r="K195" s="372"/>
    </row>
    <row r="196" customFormat="false" ht="12.75" hidden="false" customHeight="false" outlineLevel="0" collapsed="false">
      <c r="A196" s="372"/>
      <c r="B196" s="372"/>
      <c r="C196" s="372"/>
      <c r="D196" s="372"/>
      <c r="E196" s="372"/>
      <c r="F196" s="372"/>
      <c r="G196" s="372"/>
      <c r="H196" s="372"/>
      <c r="I196" s="372"/>
      <c r="J196" s="372"/>
      <c r="K196" s="372"/>
    </row>
    <row r="197" customFormat="false" ht="12.75" hidden="false" customHeight="false" outlineLevel="0" collapsed="false">
      <c r="A197" s="372"/>
      <c r="B197" s="372"/>
      <c r="C197" s="372"/>
      <c r="D197" s="372"/>
      <c r="E197" s="372"/>
      <c r="F197" s="372"/>
      <c r="G197" s="372"/>
      <c r="H197" s="372"/>
      <c r="I197" s="372"/>
      <c r="J197" s="372"/>
      <c r="K197" s="372"/>
    </row>
    <row r="198" customFormat="false" ht="12.75" hidden="false" customHeight="false" outlineLevel="0" collapsed="false">
      <c r="A198" s="372"/>
      <c r="B198" s="372"/>
      <c r="C198" s="372"/>
      <c r="D198" s="372"/>
      <c r="E198" s="372"/>
      <c r="F198" s="372"/>
      <c r="G198" s="372"/>
      <c r="H198" s="372"/>
      <c r="I198" s="372"/>
      <c r="J198" s="372"/>
      <c r="K198" s="372"/>
    </row>
    <row r="199" customFormat="false" ht="12.75" hidden="false" customHeight="false" outlineLevel="0" collapsed="false">
      <c r="A199" s="372"/>
      <c r="B199" s="372"/>
      <c r="C199" s="372"/>
      <c r="D199" s="372"/>
      <c r="E199" s="372"/>
      <c r="F199" s="372"/>
      <c r="G199" s="372"/>
      <c r="H199" s="372"/>
      <c r="I199" s="372"/>
      <c r="J199" s="372"/>
      <c r="K199" s="372"/>
    </row>
    <row r="200" customFormat="false" ht="12.75" hidden="false" customHeight="false" outlineLevel="0" collapsed="false">
      <c r="A200" s="372"/>
      <c r="B200" s="372"/>
      <c r="C200" s="372"/>
      <c r="D200" s="372"/>
      <c r="E200" s="372"/>
      <c r="F200" s="372"/>
      <c r="G200" s="372"/>
      <c r="H200" s="372"/>
      <c r="I200" s="372"/>
      <c r="J200" s="372"/>
      <c r="K200" s="372"/>
    </row>
    <row r="201" customFormat="false" ht="12.75" hidden="false" customHeight="false" outlineLevel="0" collapsed="false">
      <c r="A201" s="372"/>
      <c r="B201" s="372"/>
      <c r="C201" s="372"/>
      <c r="D201" s="372"/>
      <c r="E201" s="372"/>
      <c r="F201" s="372"/>
      <c r="G201" s="372"/>
      <c r="H201" s="372"/>
      <c r="I201" s="372"/>
      <c r="J201" s="372"/>
      <c r="K201" s="372"/>
    </row>
    <row r="202" customFormat="false" ht="12.75" hidden="false" customHeight="false" outlineLevel="0" collapsed="false">
      <c r="A202" s="372"/>
      <c r="B202" s="372"/>
      <c r="C202" s="372"/>
      <c r="D202" s="372"/>
      <c r="E202" s="372"/>
      <c r="F202" s="372"/>
      <c r="G202" s="372"/>
      <c r="H202" s="372"/>
      <c r="I202" s="372"/>
      <c r="J202" s="372"/>
      <c r="K202" s="372"/>
    </row>
    <row r="203" customFormat="false" ht="12.75" hidden="false" customHeight="false" outlineLevel="0" collapsed="false">
      <c r="A203" s="372"/>
      <c r="B203" s="372"/>
      <c r="C203" s="372"/>
      <c r="D203" s="372"/>
      <c r="E203" s="372"/>
      <c r="F203" s="372"/>
      <c r="G203" s="372"/>
      <c r="H203" s="372"/>
      <c r="I203" s="372"/>
      <c r="J203" s="372"/>
      <c r="K203" s="372"/>
    </row>
    <row r="204" customFormat="false" ht="12.75" hidden="false" customHeight="false" outlineLevel="0" collapsed="false">
      <c r="A204" s="372"/>
      <c r="B204" s="372"/>
      <c r="C204" s="372"/>
      <c r="D204" s="372"/>
      <c r="E204" s="372"/>
      <c r="F204" s="372"/>
      <c r="G204" s="372"/>
      <c r="H204" s="372"/>
      <c r="I204" s="372"/>
      <c r="J204" s="372"/>
      <c r="K204" s="372"/>
    </row>
    <row r="205" customFormat="false" ht="12.75" hidden="false" customHeight="false" outlineLevel="0" collapsed="false">
      <c r="A205" s="372"/>
      <c r="B205" s="372"/>
      <c r="C205" s="372"/>
      <c r="D205" s="372"/>
      <c r="E205" s="372"/>
      <c r="F205" s="372"/>
      <c r="G205" s="372"/>
      <c r="H205" s="372"/>
      <c r="I205" s="372"/>
      <c r="J205" s="372"/>
      <c r="K205" s="372"/>
    </row>
    <row r="206" customFormat="false" ht="12.75" hidden="false" customHeight="false" outlineLevel="0" collapsed="false">
      <c r="A206" s="372"/>
      <c r="B206" s="372"/>
      <c r="C206" s="372"/>
      <c r="D206" s="372"/>
      <c r="E206" s="372"/>
      <c r="F206" s="372"/>
      <c r="G206" s="372"/>
      <c r="H206" s="372"/>
      <c r="I206" s="372"/>
      <c r="J206" s="372"/>
      <c r="K206" s="372"/>
    </row>
    <row r="207" customFormat="false" ht="12.75" hidden="false" customHeight="false" outlineLevel="0" collapsed="false">
      <c r="A207" s="372"/>
      <c r="B207" s="372"/>
      <c r="C207" s="372"/>
      <c r="D207" s="372"/>
      <c r="E207" s="372"/>
      <c r="F207" s="372"/>
      <c r="G207" s="372"/>
      <c r="H207" s="372"/>
      <c r="I207" s="372"/>
      <c r="J207" s="372"/>
      <c r="K207" s="372"/>
    </row>
    <row r="208" customFormat="false" ht="12.75" hidden="false" customHeight="false" outlineLevel="0" collapsed="false">
      <c r="A208" s="372"/>
      <c r="B208" s="372"/>
      <c r="C208" s="372"/>
      <c r="D208" s="372"/>
      <c r="E208" s="372"/>
      <c r="F208" s="372"/>
      <c r="G208" s="372"/>
      <c r="H208" s="372"/>
      <c r="I208" s="372"/>
      <c r="J208" s="372"/>
      <c r="K208" s="372"/>
    </row>
    <row r="209" customFormat="false" ht="12.75" hidden="false" customHeight="false" outlineLevel="0" collapsed="false">
      <c r="A209" s="372"/>
      <c r="B209" s="372"/>
      <c r="C209" s="372"/>
      <c r="D209" s="372"/>
      <c r="E209" s="372"/>
      <c r="F209" s="372"/>
      <c r="G209" s="372"/>
      <c r="H209" s="372"/>
      <c r="I209" s="372"/>
      <c r="J209" s="372"/>
      <c r="K209" s="372"/>
    </row>
    <row r="210" customFormat="false" ht="12.75" hidden="false" customHeight="false" outlineLevel="0" collapsed="false">
      <c r="A210" s="372"/>
      <c r="B210" s="372"/>
      <c r="C210" s="372"/>
      <c r="D210" s="372"/>
      <c r="E210" s="372"/>
      <c r="F210" s="372"/>
      <c r="G210" s="372"/>
      <c r="H210" s="372"/>
      <c r="I210" s="372"/>
      <c r="J210" s="372"/>
      <c r="K210" s="372"/>
    </row>
    <row r="211" customFormat="false" ht="12.75" hidden="false" customHeight="false" outlineLevel="0" collapsed="false">
      <c r="A211" s="372"/>
      <c r="B211" s="372"/>
      <c r="C211" s="372"/>
      <c r="D211" s="372"/>
      <c r="E211" s="372"/>
      <c r="F211" s="372"/>
      <c r="G211" s="372"/>
      <c r="H211" s="372"/>
      <c r="I211" s="372"/>
      <c r="J211" s="372"/>
      <c r="K211" s="372"/>
    </row>
    <row r="212" customFormat="false" ht="12.75" hidden="false" customHeight="false" outlineLevel="0" collapsed="false">
      <c r="A212" s="372"/>
      <c r="B212" s="372"/>
      <c r="C212" s="372"/>
      <c r="D212" s="372"/>
      <c r="E212" s="372"/>
      <c r="F212" s="372"/>
      <c r="G212" s="372"/>
      <c r="H212" s="372"/>
      <c r="I212" s="372"/>
      <c r="J212" s="372"/>
      <c r="K212" s="372"/>
    </row>
    <row r="213" customFormat="false" ht="12.75" hidden="false" customHeight="false" outlineLevel="0" collapsed="false">
      <c r="A213" s="372"/>
      <c r="B213" s="372"/>
      <c r="C213" s="372"/>
      <c r="D213" s="372"/>
      <c r="E213" s="372"/>
      <c r="F213" s="372"/>
      <c r="G213" s="372"/>
      <c r="H213" s="372"/>
      <c r="I213" s="372"/>
      <c r="J213" s="372"/>
      <c r="K213" s="372"/>
    </row>
    <row r="214" customFormat="false" ht="12.75" hidden="false" customHeight="false" outlineLevel="0" collapsed="false">
      <c r="A214" s="372"/>
      <c r="B214" s="372"/>
      <c r="C214" s="372"/>
      <c r="D214" s="372"/>
      <c r="E214" s="372"/>
      <c r="F214" s="372"/>
      <c r="G214" s="372"/>
      <c r="H214" s="372"/>
      <c r="I214" s="372"/>
      <c r="J214" s="372"/>
      <c r="K214" s="372"/>
    </row>
    <row r="215" customFormat="false" ht="12.75" hidden="false" customHeight="false" outlineLevel="0" collapsed="false">
      <c r="A215" s="372"/>
      <c r="B215" s="372"/>
      <c r="C215" s="372"/>
      <c r="D215" s="372"/>
      <c r="E215" s="372"/>
      <c r="F215" s="372"/>
      <c r="G215" s="372"/>
      <c r="H215" s="372"/>
      <c r="I215" s="372"/>
      <c r="J215" s="372"/>
      <c r="K215" s="372"/>
    </row>
    <row r="216" customFormat="false" ht="12.75" hidden="false" customHeight="false" outlineLevel="0" collapsed="false">
      <c r="A216" s="372"/>
      <c r="B216" s="372"/>
      <c r="C216" s="372"/>
      <c r="D216" s="372"/>
      <c r="E216" s="372"/>
      <c r="F216" s="372"/>
      <c r="G216" s="372"/>
      <c r="H216" s="372"/>
      <c r="I216" s="372"/>
      <c r="J216" s="372"/>
      <c r="K216" s="372"/>
    </row>
    <row r="217" customFormat="false" ht="12.75" hidden="false" customHeight="false" outlineLevel="0" collapsed="false">
      <c r="A217" s="372"/>
      <c r="B217" s="372"/>
      <c r="C217" s="372"/>
      <c r="D217" s="372"/>
      <c r="E217" s="372"/>
      <c r="F217" s="372"/>
      <c r="G217" s="372"/>
      <c r="H217" s="372"/>
      <c r="I217" s="372"/>
      <c r="J217" s="372"/>
      <c r="K217" s="372"/>
    </row>
    <row r="218" customFormat="false" ht="12.75" hidden="false" customHeight="false" outlineLevel="0" collapsed="false">
      <c r="A218" s="372"/>
      <c r="B218" s="372"/>
      <c r="C218" s="372"/>
      <c r="D218" s="372"/>
      <c r="E218" s="372"/>
      <c r="F218" s="372"/>
      <c r="G218" s="372"/>
      <c r="H218" s="372"/>
      <c r="I218" s="372"/>
      <c r="J218" s="372"/>
      <c r="K218" s="372"/>
    </row>
    <row r="219" customFormat="false" ht="12.75" hidden="false" customHeight="false" outlineLevel="0" collapsed="false">
      <c r="A219" s="372"/>
      <c r="B219" s="372"/>
      <c r="C219" s="372"/>
      <c r="D219" s="372"/>
      <c r="E219" s="372"/>
      <c r="F219" s="372"/>
      <c r="G219" s="372"/>
      <c r="H219" s="372"/>
      <c r="I219" s="372"/>
      <c r="J219" s="372"/>
      <c r="K219" s="372"/>
    </row>
    <row r="220" customFormat="false" ht="12.75" hidden="false" customHeight="false" outlineLevel="0" collapsed="false">
      <c r="A220" s="372"/>
      <c r="B220" s="372"/>
      <c r="C220" s="372"/>
      <c r="D220" s="372"/>
      <c r="E220" s="372"/>
      <c r="F220" s="372"/>
      <c r="G220" s="372"/>
      <c r="H220" s="372"/>
      <c r="I220" s="372"/>
      <c r="J220" s="372"/>
      <c r="K220" s="372"/>
    </row>
    <row r="221" customFormat="false" ht="12.75" hidden="false" customHeight="false" outlineLevel="0" collapsed="false">
      <c r="A221" s="372"/>
      <c r="B221" s="372"/>
      <c r="C221" s="372"/>
      <c r="D221" s="372"/>
      <c r="E221" s="372"/>
      <c r="F221" s="372"/>
      <c r="G221" s="372"/>
      <c r="H221" s="372"/>
      <c r="I221" s="372"/>
      <c r="J221" s="372"/>
      <c r="K221" s="372"/>
    </row>
    <row r="222" customFormat="false" ht="12.75" hidden="false" customHeight="false" outlineLevel="0" collapsed="false">
      <c r="A222" s="372"/>
      <c r="B222" s="372"/>
      <c r="C222" s="372"/>
      <c r="D222" s="372"/>
      <c r="E222" s="372"/>
      <c r="F222" s="372"/>
      <c r="G222" s="372"/>
      <c r="H222" s="372"/>
      <c r="I222" s="372"/>
      <c r="J222" s="372"/>
      <c r="K222" s="372"/>
    </row>
    <row r="223" customFormat="false" ht="12.75" hidden="false" customHeight="false" outlineLevel="0" collapsed="false">
      <c r="A223" s="372"/>
      <c r="B223" s="372"/>
      <c r="C223" s="372"/>
      <c r="D223" s="372"/>
      <c r="E223" s="372"/>
      <c r="F223" s="372"/>
      <c r="G223" s="372"/>
      <c r="H223" s="372"/>
      <c r="I223" s="372"/>
      <c r="J223" s="372"/>
      <c r="K223" s="372"/>
    </row>
    <row r="224" customFormat="false" ht="12.75" hidden="false" customHeight="false" outlineLevel="0" collapsed="false">
      <c r="A224" s="372"/>
      <c r="B224" s="372"/>
      <c r="C224" s="372"/>
      <c r="D224" s="372"/>
      <c r="E224" s="372"/>
      <c r="F224" s="372"/>
      <c r="G224" s="372"/>
      <c r="H224" s="372"/>
      <c r="I224" s="372"/>
      <c r="J224" s="372"/>
      <c r="K224" s="372"/>
    </row>
    <row r="225" customFormat="false" ht="12.75" hidden="false" customHeight="false" outlineLevel="0" collapsed="false">
      <c r="A225" s="372"/>
      <c r="B225" s="372"/>
      <c r="C225" s="372"/>
      <c r="D225" s="372"/>
      <c r="E225" s="372"/>
      <c r="F225" s="372"/>
      <c r="G225" s="372"/>
      <c r="H225" s="372"/>
      <c r="I225" s="372"/>
      <c r="J225" s="372"/>
      <c r="K225" s="372"/>
    </row>
    <row r="226" customFormat="false" ht="12.75" hidden="false" customHeight="false" outlineLevel="0" collapsed="false">
      <c r="A226" s="372"/>
      <c r="B226" s="372"/>
      <c r="C226" s="372"/>
      <c r="D226" s="372"/>
      <c r="E226" s="372"/>
      <c r="F226" s="372"/>
      <c r="G226" s="372"/>
      <c r="H226" s="372"/>
      <c r="I226" s="372"/>
      <c r="J226" s="372"/>
      <c r="K226" s="372"/>
    </row>
    <row r="227" customFormat="false" ht="12.75" hidden="false" customHeight="false" outlineLevel="0" collapsed="false">
      <c r="A227" s="372"/>
      <c r="B227" s="372"/>
      <c r="C227" s="372"/>
      <c r="D227" s="372"/>
      <c r="E227" s="372"/>
      <c r="F227" s="372"/>
      <c r="G227" s="372"/>
      <c r="H227" s="372"/>
      <c r="I227" s="372"/>
      <c r="J227" s="372"/>
      <c r="K227" s="372"/>
    </row>
    <row r="228" customFormat="false" ht="12.75" hidden="false" customHeight="false" outlineLevel="0" collapsed="false">
      <c r="A228" s="372"/>
      <c r="B228" s="372"/>
      <c r="C228" s="372"/>
      <c r="D228" s="372"/>
      <c r="E228" s="372"/>
      <c r="F228" s="372"/>
      <c r="G228" s="372"/>
      <c r="H228" s="372"/>
      <c r="I228" s="372"/>
      <c r="J228" s="372"/>
      <c r="K228" s="372"/>
    </row>
    <row r="229" customFormat="false" ht="12.75" hidden="false" customHeight="false" outlineLevel="0" collapsed="false">
      <c r="A229" s="372"/>
      <c r="B229" s="372"/>
      <c r="C229" s="372"/>
      <c r="D229" s="372"/>
      <c r="E229" s="372"/>
      <c r="F229" s="372"/>
      <c r="G229" s="372"/>
      <c r="H229" s="372"/>
      <c r="I229" s="372"/>
      <c r="J229" s="372"/>
      <c r="K229" s="372"/>
    </row>
    <row r="230" customFormat="false" ht="12.75" hidden="false" customHeight="false" outlineLevel="0" collapsed="false">
      <c r="A230" s="372"/>
      <c r="B230" s="372"/>
      <c r="C230" s="372"/>
      <c r="D230" s="372"/>
      <c r="E230" s="372"/>
      <c r="F230" s="372"/>
      <c r="G230" s="372"/>
      <c r="H230" s="372"/>
      <c r="I230" s="372"/>
      <c r="J230" s="372"/>
      <c r="K230" s="372"/>
    </row>
    <row r="231" customFormat="false" ht="12.75" hidden="false" customHeight="false" outlineLevel="0" collapsed="false">
      <c r="A231" s="372"/>
      <c r="B231" s="372"/>
      <c r="C231" s="372"/>
      <c r="D231" s="372"/>
      <c r="E231" s="372"/>
      <c r="F231" s="372"/>
      <c r="G231" s="372"/>
      <c r="H231" s="372"/>
      <c r="I231" s="372"/>
      <c r="J231" s="372"/>
      <c r="K231" s="372"/>
    </row>
    <row r="232" customFormat="false" ht="12.75" hidden="false" customHeight="false" outlineLevel="0" collapsed="false">
      <c r="A232" s="372"/>
      <c r="B232" s="372"/>
      <c r="C232" s="372"/>
      <c r="D232" s="372"/>
      <c r="E232" s="372"/>
      <c r="F232" s="372"/>
      <c r="G232" s="372"/>
      <c r="H232" s="372"/>
      <c r="I232" s="372"/>
      <c r="J232" s="372"/>
      <c r="K232" s="372"/>
    </row>
    <row r="233" customFormat="false" ht="12.75" hidden="false" customHeight="false" outlineLevel="0" collapsed="false">
      <c r="A233" s="372"/>
      <c r="B233" s="372"/>
      <c r="C233" s="372"/>
      <c r="D233" s="372"/>
      <c r="E233" s="372"/>
      <c r="F233" s="372"/>
      <c r="G233" s="372"/>
      <c r="H233" s="372"/>
      <c r="I233" s="372"/>
      <c r="J233" s="372"/>
      <c r="K233" s="372"/>
    </row>
    <row r="234" customFormat="false" ht="12.75" hidden="false" customHeight="false" outlineLevel="0" collapsed="false">
      <c r="A234" s="372"/>
      <c r="B234" s="372"/>
      <c r="C234" s="372"/>
      <c r="D234" s="372"/>
      <c r="E234" s="372"/>
      <c r="F234" s="372"/>
      <c r="G234" s="372"/>
      <c r="H234" s="372"/>
      <c r="I234" s="372"/>
      <c r="J234" s="372"/>
      <c r="K234" s="372"/>
    </row>
    <row r="235" customFormat="false" ht="12.75" hidden="false" customHeight="false" outlineLevel="0" collapsed="false">
      <c r="A235" s="372"/>
      <c r="B235" s="372"/>
      <c r="C235" s="372"/>
      <c r="D235" s="372"/>
      <c r="E235" s="372"/>
      <c r="F235" s="372"/>
      <c r="G235" s="372"/>
      <c r="H235" s="372"/>
      <c r="I235" s="372"/>
      <c r="J235" s="372"/>
      <c r="K235" s="372"/>
    </row>
    <row r="236" customFormat="false" ht="12.75" hidden="false" customHeight="false" outlineLevel="0" collapsed="false">
      <c r="A236" s="372"/>
      <c r="B236" s="372"/>
      <c r="C236" s="372"/>
      <c r="D236" s="372"/>
      <c r="E236" s="372"/>
      <c r="F236" s="372"/>
      <c r="G236" s="372"/>
      <c r="H236" s="372"/>
      <c r="I236" s="372"/>
      <c r="J236" s="372"/>
      <c r="K236" s="372"/>
    </row>
    <row r="237" customFormat="false" ht="12.75" hidden="false" customHeight="false" outlineLevel="0" collapsed="false">
      <c r="A237" s="372"/>
      <c r="B237" s="372"/>
      <c r="C237" s="372"/>
      <c r="D237" s="372"/>
      <c r="E237" s="372"/>
      <c r="F237" s="372"/>
      <c r="G237" s="372"/>
      <c r="H237" s="372"/>
      <c r="I237" s="372"/>
      <c r="J237" s="372"/>
      <c r="K237" s="372"/>
    </row>
    <row r="238" customFormat="false" ht="12.75" hidden="false" customHeight="false" outlineLevel="0" collapsed="false">
      <c r="A238" s="372"/>
      <c r="B238" s="372"/>
      <c r="C238" s="372"/>
      <c r="D238" s="372"/>
      <c r="E238" s="372"/>
      <c r="F238" s="372"/>
      <c r="G238" s="372"/>
      <c r="H238" s="372"/>
      <c r="I238" s="372"/>
      <c r="J238" s="372"/>
      <c r="K238" s="372"/>
    </row>
    <row r="239" customFormat="false" ht="12.75" hidden="false" customHeight="false" outlineLevel="0" collapsed="false">
      <c r="A239" s="372"/>
      <c r="B239" s="372"/>
      <c r="C239" s="372"/>
      <c r="D239" s="372"/>
      <c r="E239" s="372"/>
      <c r="F239" s="372"/>
      <c r="G239" s="372"/>
      <c r="H239" s="372"/>
      <c r="I239" s="372"/>
      <c r="J239" s="372"/>
      <c r="K239" s="372"/>
    </row>
    <row r="240" customFormat="false" ht="12.75" hidden="false" customHeight="false" outlineLevel="0" collapsed="false">
      <c r="A240" s="372"/>
      <c r="B240" s="372"/>
      <c r="C240" s="372"/>
      <c r="D240" s="372"/>
      <c r="E240" s="372"/>
      <c r="F240" s="372"/>
      <c r="G240" s="372"/>
      <c r="H240" s="372"/>
      <c r="I240" s="372"/>
      <c r="J240" s="372"/>
      <c r="K240" s="372"/>
    </row>
    <row r="241" customFormat="false" ht="12.75" hidden="false" customHeight="false" outlineLevel="0" collapsed="false">
      <c r="A241" s="372"/>
      <c r="B241" s="372"/>
      <c r="C241" s="372"/>
      <c r="D241" s="372"/>
      <c r="E241" s="372"/>
      <c r="F241" s="372"/>
      <c r="G241" s="372"/>
      <c r="H241" s="372"/>
      <c r="I241" s="372"/>
      <c r="J241" s="372"/>
      <c r="K241" s="372"/>
    </row>
    <row r="242" customFormat="false" ht="12.75" hidden="false" customHeight="false" outlineLevel="0" collapsed="false">
      <c r="A242" s="372"/>
      <c r="B242" s="372"/>
      <c r="C242" s="372"/>
      <c r="D242" s="372"/>
      <c r="E242" s="372"/>
      <c r="F242" s="372"/>
      <c r="G242" s="372"/>
      <c r="H242" s="372"/>
      <c r="I242" s="372"/>
      <c r="J242" s="372"/>
      <c r="K242" s="372"/>
    </row>
    <row r="243" customFormat="false" ht="12.75" hidden="false" customHeight="false" outlineLevel="0" collapsed="false">
      <c r="A243" s="372"/>
      <c r="B243" s="372"/>
      <c r="C243" s="372"/>
      <c r="D243" s="372"/>
      <c r="E243" s="372"/>
      <c r="F243" s="372"/>
      <c r="G243" s="372"/>
      <c r="H243" s="372"/>
      <c r="I243" s="372"/>
      <c r="J243" s="372"/>
      <c r="K243" s="372"/>
    </row>
    <row r="244" customFormat="false" ht="12.75" hidden="false" customHeight="false" outlineLevel="0" collapsed="false">
      <c r="A244" s="372"/>
      <c r="B244" s="372"/>
      <c r="C244" s="372"/>
      <c r="D244" s="372"/>
      <c r="E244" s="372"/>
      <c r="F244" s="372"/>
      <c r="G244" s="372"/>
      <c r="H244" s="372"/>
      <c r="I244" s="372"/>
      <c r="J244" s="372"/>
      <c r="K244" s="372"/>
    </row>
    <row r="245" customFormat="false" ht="12.75" hidden="false" customHeight="false" outlineLevel="0" collapsed="false">
      <c r="A245" s="372"/>
      <c r="B245" s="372"/>
      <c r="C245" s="372"/>
      <c r="D245" s="372"/>
      <c r="E245" s="372"/>
      <c r="F245" s="372"/>
      <c r="G245" s="372"/>
      <c r="H245" s="372"/>
      <c r="I245" s="372"/>
      <c r="J245" s="372"/>
      <c r="K245" s="372"/>
    </row>
    <row r="246" customFormat="false" ht="12.75" hidden="false" customHeight="false" outlineLevel="0" collapsed="false">
      <c r="A246" s="372"/>
      <c r="B246" s="372"/>
      <c r="C246" s="372"/>
      <c r="D246" s="372"/>
      <c r="E246" s="372"/>
      <c r="F246" s="372"/>
      <c r="G246" s="372"/>
      <c r="H246" s="372"/>
      <c r="I246" s="372"/>
      <c r="J246" s="372"/>
      <c r="K246" s="372"/>
    </row>
    <row r="247" customFormat="false" ht="12.75" hidden="false" customHeight="false" outlineLevel="0" collapsed="false">
      <c r="A247" s="372"/>
      <c r="B247" s="372"/>
      <c r="C247" s="372"/>
      <c r="D247" s="372"/>
      <c r="E247" s="372"/>
      <c r="F247" s="372"/>
      <c r="G247" s="372"/>
      <c r="H247" s="372"/>
      <c r="I247" s="372"/>
      <c r="J247" s="372"/>
      <c r="K247" s="372"/>
    </row>
    <row r="248" customFormat="false" ht="12.75" hidden="false" customHeight="false" outlineLevel="0" collapsed="false">
      <c r="A248" s="372"/>
      <c r="B248" s="372"/>
      <c r="C248" s="372"/>
      <c r="D248" s="372"/>
      <c r="E248" s="372"/>
      <c r="F248" s="372"/>
      <c r="G248" s="372"/>
      <c r="H248" s="372"/>
      <c r="I248" s="372"/>
      <c r="J248" s="372"/>
      <c r="K248" s="372"/>
    </row>
    <row r="249" customFormat="false" ht="12.75" hidden="false" customHeight="false" outlineLevel="0" collapsed="false">
      <c r="A249" s="372"/>
      <c r="B249" s="372"/>
      <c r="C249" s="372"/>
      <c r="D249" s="372"/>
      <c r="E249" s="372"/>
      <c r="F249" s="372"/>
      <c r="G249" s="372"/>
      <c r="H249" s="372"/>
      <c r="I249" s="372"/>
      <c r="J249" s="372"/>
      <c r="K249" s="372"/>
    </row>
    <row r="250" customFormat="false" ht="12.75" hidden="false" customHeight="false" outlineLevel="0" collapsed="false">
      <c r="A250" s="372"/>
      <c r="B250" s="372"/>
      <c r="C250" s="372"/>
      <c r="D250" s="372"/>
      <c r="E250" s="372"/>
      <c r="F250" s="372"/>
      <c r="G250" s="372"/>
      <c r="H250" s="372"/>
      <c r="I250" s="372"/>
      <c r="J250" s="372"/>
      <c r="K250" s="372"/>
    </row>
    <row r="251" customFormat="false" ht="12.75" hidden="false" customHeight="false" outlineLevel="0" collapsed="false">
      <c r="A251" s="372"/>
      <c r="B251" s="372"/>
      <c r="C251" s="372"/>
      <c r="D251" s="372"/>
      <c r="E251" s="372"/>
      <c r="F251" s="372"/>
      <c r="G251" s="372"/>
      <c r="H251" s="372"/>
      <c r="I251" s="372"/>
      <c r="J251" s="372"/>
      <c r="K251" s="372"/>
    </row>
    <row r="252" customFormat="false" ht="12.75" hidden="false" customHeight="false" outlineLevel="0" collapsed="false">
      <c r="A252" s="372"/>
      <c r="B252" s="372"/>
      <c r="C252" s="372"/>
      <c r="D252" s="372"/>
      <c r="E252" s="372"/>
      <c r="F252" s="372"/>
      <c r="G252" s="372"/>
      <c r="H252" s="372"/>
      <c r="I252" s="372"/>
      <c r="J252" s="372"/>
      <c r="K252" s="372"/>
    </row>
    <row r="253" customFormat="false" ht="12.75" hidden="false" customHeight="false" outlineLevel="0" collapsed="false">
      <c r="A253" s="372"/>
      <c r="B253" s="372"/>
      <c r="C253" s="372"/>
      <c r="D253" s="372"/>
      <c r="E253" s="372"/>
      <c r="F253" s="372"/>
      <c r="G253" s="372"/>
      <c r="H253" s="372"/>
      <c r="I253" s="372"/>
      <c r="J253" s="372"/>
      <c r="K253" s="372"/>
    </row>
    <row r="254" customFormat="false" ht="12.75" hidden="false" customHeight="false" outlineLevel="0" collapsed="false">
      <c r="A254" s="372"/>
      <c r="B254" s="372"/>
      <c r="C254" s="372"/>
      <c r="D254" s="372"/>
      <c r="E254" s="372"/>
      <c r="F254" s="372"/>
      <c r="G254" s="372"/>
      <c r="H254" s="372"/>
      <c r="I254" s="372"/>
      <c r="J254" s="372"/>
      <c r="K254" s="372"/>
    </row>
    <row r="255" customFormat="false" ht="12.75" hidden="false" customHeight="false" outlineLevel="0" collapsed="false">
      <c r="A255" s="372"/>
      <c r="B255" s="372"/>
      <c r="C255" s="372"/>
      <c r="D255" s="372"/>
      <c r="E255" s="372"/>
      <c r="F255" s="372"/>
      <c r="G255" s="372"/>
      <c r="H255" s="372"/>
      <c r="I255" s="372"/>
      <c r="J255" s="372"/>
      <c r="K255" s="372"/>
    </row>
    <row r="256" customFormat="false" ht="12.75" hidden="false" customHeight="false" outlineLevel="0" collapsed="false">
      <c r="A256" s="372"/>
      <c r="B256" s="372"/>
      <c r="C256" s="372"/>
      <c r="D256" s="372"/>
      <c r="E256" s="372"/>
      <c r="F256" s="372"/>
      <c r="G256" s="372"/>
      <c r="H256" s="372"/>
      <c r="I256" s="372"/>
      <c r="J256" s="372"/>
      <c r="K256" s="372"/>
    </row>
    <row r="257" customFormat="false" ht="12.75" hidden="false" customHeight="false" outlineLevel="0" collapsed="false">
      <c r="A257" s="372"/>
      <c r="B257" s="372"/>
      <c r="C257" s="372"/>
      <c r="D257" s="372"/>
      <c r="E257" s="372"/>
      <c r="F257" s="372"/>
      <c r="G257" s="372"/>
      <c r="H257" s="372"/>
      <c r="I257" s="372"/>
      <c r="J257" s="372"/>
      <c r="K257" s="372"/>
    </row>
    <row r="258" customFormat="false" ht="12.75" hidden="false" customHeight="false" outlineLevel="0" collapsed="false">
      <c r="A258" s="372"/>
      <c r="B258" s="372"/>
      <c r="C258" s="372"/>
      <c r="D258" s="372"/>
      <c r="E258" s="372"/>
      <c r="F258" s="372"/>
      <c r="G258" s="372"/>
      <c r="H258" s="372"/>
      <c r="I258" s="372"/>
      <c r="J258" s="372"/>
      <c r="K258" s="372"/>
    </row>
    <row r="259" customFormat="false" ht="12.75" hidden="false" customHeight="false" outlineLevel="0" collapsed="false">
      <c r="A259" s="372"/>
      <c r="B259" s="372"/>
      <c r="C259" s="372"/>
      <c r="D259" s="372"/>
      <c r="E259" s="372"/>
      <c r="F259" s="372"/>
      <c r="G259" s="372"/>
      <c r="H259" s="372"/>
      <c r="I259" s="372"/>
      <c r="J259" s="372"/>
      <c r="K259" s="372"/>
    </row>
    <row r="260" customFormat="false" ht="12.75" hidden="false" customHeight="false" outlineLevel="0" collapsed="false">
      <c r="A260" s="372"/>
      <c r="B260" s="372"/>
      <c r="C260" s="372"/>
      <c r="D260" s="372"/>
      <c r="E260" s="372"/>
      <c r="F260" s="372"/>
      <c r="G260" s="372"/>
      <c r="H260" s="372"/>
      <c r="I260" s="372"/>
      <c r="J260" s="372"/>
      <c r="K260" s="372"/>
    </row>
    <row r="261" customFormat="false" ht="12.75" hidden="false" customHeight="false" outlineLevel="0" collapsed="false">
      <c r="A261" s="372"/>
      <c r="B261" s="372"/>
      <c r="C261" s="372"/>
      <c r="D261" s="372"/>
      <c r="E261" s="372"/>
      <c r="F261" s="372"/>
      <c r="G261" s="372"/>
      <c r="H261" s="372"/>
      <c r="I261" s="372"/>
      <c r="J261" s="372"/>
      <c r="K261" s="372"/>
    </row>
    <row r="262" customFormat="false" ht="12.75" hidden="false" customHeight="false" outlineLevel="0" collapsed="false">
      <c r="A262" s="372"/>
      <c r="B262" s="372"/>
      <c r="C262" s="372"/>
      <c r="D262" s="372"/>
      <c r="E262" s="372"/>
      <c r="F262" s="372"/>
      <c r="G262" s="372"/>
      <c r="H262" s="372"/>
      <c r="I262" s="372"/>
      <c r="J262" s="372"/>
      <c r="K262" s="372"/>
    </row>
    <row r="263" customFormat="false" ht="12.75" hidden="false" customHeight="false" outlineLevel="0" collapsed="false">
      <c r="A263" s="372"/>
      <c r="B263" s="372"/>
      <c r="C263" s="372"/>
      <c r="D263" s="372"/>
      <c r="E263" s="372"/>
      <c r="F263" s="372"/>
      <c r="G263" s="372"/>
      <c r="H263" s="372"/>
      <c r="I263" s="372"/>
      <c r="J263" s="372"/>
      <c r="K263" s="372"/>
    </row>
    <row r="264" customFormat="false" ht="12.75" hidden="false" customHeight="false" outlineLevel="0" collapsed="false">
      <c r="A264" s="372"/>
      <c r="B264" s="372"/>
      <c r="C264" s="372"/>
      <c r="D264" s="372"/>
      <c r="E264" s="372"/>
      <c r="F264" s="372"/>
      <c r="G264" s="372"/>
      <c r="H264" s="372"/>
      <c r="I264" s="372"/>
      <c r="J264" s="372"/>
      <c r="K264" s="372"/>
    </row>
    <row r="265" customFormat="false" ht="12.75" hidden="false" customHeight="false" outlineLevel="0" collapsed="false">
      <c r="A265" s="372"/>
      <c r="B265" s="372"/>
      <c r="C265" s="372"/>
      <c r="D265" s="372"/>
      <c r="E265" s="372"/>
      <c r="F265" s="372"/>
      <c r="G265" s="372"/>
      <c r="H265" s="372"/>
      <c r="I265" s="372"/>
      <c r="J265" s="372"/>
      <c r="K265" s="372"/>
    </row>
    <row r="266" customFormat="false" ht="12.75" hidden="false" customHeight="false" outlineLevel="0" collapsed="false">
      <c r="A266" s="372"/>
      <c r="B266" s="372"/>
      <c r="C266" s="372"/>
      <c r="D266" s="372"/>
      <c r="E266" s="372"/>
      <c r="F266" s="372"/>
      <c r="G266" s="372"/>
      <c r="H266" s="372"/>
      <c r="I266" s="372"/>
      <c r="J266" s="372"/>
      <c r="K266" s="372"/>
    </row>
    <row r="267" customFormat="false" ht="12.75" hidden="false" customHeight="false" outlineLevel="0" collapsed="false">
      <c r="A267" s="372"/>
      <c r="B267" s="372"/>
      <c r="C267" s="372"/>
      <c r="D267" s="372"/>
      <c r="E267" s="372"/>
      <c r="F267" s="372"/>
      <c r="G267" s="372"/>
      <c r="H267" s="372"/>
      <c r="I267" s="372"/>
      <c r="J267" s="372"/>
      <c r="K267" s="372"/>
    </row>
    <row r="268" customFormat="false" ht="12.75" hidden="false" customHeight="false" outlineLevel="0" collapsed="false">
      <c r="A268" s="372"/>
      <c r="B268" s="372"/>
      <c r="C268" s="372"/>
      <c r="D268" s="372"/>
      <c r="E268" s="372"/>
      <c r="F268" s="372"/>
      <c r="G268" s="372"/>
      <c r="H268" s="372"/>
      <c r="I268" s="372"/>
      <c r="J268" s="372"/>
      <c r="K268" s="372"/>
    </row>
    <row r="269" customFormat="false" ht="12.75" hidden="false" customHeight="false" outlineLevel="0" collapsed="false">
      <c r="A269" s="372"/>
      <c r="B269" s="372"/>
      <c r="C269" s="372"/>
      <c r="D269" s="372"/>
      <c r="E269" s="372"/>
      <c r="F269" s="372"/>
      <c r="G269" s="372"/>
      <c r="H269" s="372"/>
      <c r="I269" s="372"/>
      <c r="J269" s="372"/>
      <c r="K269" s="372"/>
    </row>
    <row r="270" customFormat="false" ht="12.75" hidden="false" customHeight="false" outlineLevel="0" collapsed="false">
      <c r="A270" s="372"/>
      <c r="B270" s="372"/>
      <c r="C270" s="372"/>
      <c r="D270" s="372"/>
      <c r="E270" s="372"/>
      <c r="F270" s="372"/>
      <c r="G270" s="372"/>
      <c r="H270" s="372"/>
      <c r="I270" s="372"/>
      <c r="J270" s="372"/>
      <c r="K270" s="372"/>
    </row>
    <row r="271" customFormat="false" ht="12.75" hidden="false" customHeight="false" outlineLevel="0" collapsed="false">
      <c r="A271" s="372"/>
      <c r="B271" s="372"/>
      <c r="C271" s="372"/>
      <c r="D271" s="372"/>
      <c r="E271" s="372"/>
      <c r="F271" s="372"/>
      <c r="G271" s="372"/>
      <c r="H271" s="372"/>
      <c r="I271" s="372"/>
      <c r="J271" s="372"/>
      <c r="K271" s="372"/>
    </row>
    <row r="272" customFormat="false" ht="12.75" hidden="false" customHeight="false" outlineLevel="0" collapsed="false">
      <c r="A272" s="372"/>
      <c r="B272" s="372"/>
      <c r="C272" s="372"/>
      <c r="D272" s="372"/>
      <c r="E272" s="372"/>
      <c r="F272" s="372"/>
      <c r="G272" s="372"/>
      <c r="H272" s="372"/>
      <c r="I272" s="372"/>
      <c r="J272" s="372"/>
      <c r="K272" s="372"/>
    </row>
    <row r="273" customFormat="false" ht="12.75" hidden="false" customHeight="false" outlineLevel="0" collapsed="false">
      <c r="A273" s="372"/>
      <c r="B273" s="372"/>
      <c r="C273" s="372"/>
      <c r="D273" s="372"/>
      <c r="E273" s="372"/>
      <c r="F273" s="372"/>
      <c r="G273" s="372"/>
      <c r="H273" s="372"/>
      <c r="I273" s="372"/>
      <c r="J273" s="372"/>
      <c r="K273" s="372"/>
    </row>
    <row r="274" customFormat="false" ht="12.75" hidden="false" customHeight="false" outlineLevel="0" collapsed="false">
      <c r="A274" s="372"/>
      <c r="B274" s="372"/>
      <c r="C274" s="372"/>
      <c r="D274" s="372"/>
      <c r="E274" s="372"/>
      <c r="F274" s="372"/>
      <c r="G274" s="372"/>
      <c r="H274" s="372"/>
      <c r="I274" s="372"/>
      <c r="J274" s="372"/>
      <c r="K274" s="372"/>
    </row>
    <row r="275" customFormat="false" ht="12.75" hidden="false" customHeight="false" outlineLevel="0" collapsed="false">
      <c r="A275" s="372"/>
      <c r="B275" s="372"/>
      <c r="C275" s="372"/>
      <c r="D275" s="372"/>
      <c r="E275" s="372"/>
      <c r="F275" s="372"/>
      <c r="G275" s="372"/>
      <c r="H275" s="372"/>
      <c r="I275" s="372"/>
      <c r="J275" s="372"/>
      <c r="K275" s="372"/>
    </row>
    <row r="276" customFormat="false" ht="12.75" hidden="false" customHeight="false" outlineLevel="0" collapsed="false">
      <c r="A276" s="372"/>
      <c r="B276" s="372"/>
      <c r="C276" s="372"/>
      <c r="D276" s="372"/>
      <c r="E276" s="372"/>
      <c r="F276" s="372"/>
      <c r="G276" s="372"/>
      <c r="H276" s="372"/>
      <c r="I276" s="372"/>
      <c r="J276" s="372"/>
      <c r="K276" s="372"/>
    </row>
    <row r="277" customFormat="false" ht="12.75" hidden="false" customHeight="false" outlineLevel="0" collapsed="false">
      <c r="A277" s="372"/>
      <c r="B277" s="372"/>
      <c r="C277" s="372"/>
      <c r="D277" s="372"/>
      <c r="E277" s="372"/>
      <c r="F277" s="372"/>
      <c r="G277" s="372"/>
      <c r="H277" s="372"/>
      <c r="I277" s="372"/>
      <c r="J277" s="372"/>
      <c r="K277" s="372"/>
    </row>
    <row r="278" customFormat="false" ht="12.75" hidden="false" customHeight="false" outlineLevel="0" collapsed="false">
      <c r="A278" s="372"/>
      <c r="B278" s="372"/>
      <c r="C278" s="372"/>
      <c r="D278" s="372"/>
      <c r="E278" s="372"/>
      <c r="F278" s="372"/>
      <c r="G278" s="372"/>
      <c r="H278" s="372"/>
      <c r="I278" s="372"/>
      <c r="J278" s="372"/>
      <c r="K278" s="372"/>
    </row>
    <row r="279" customFormat="false" ht="12.75" hidden="false" customHeight="false" outlineLevel="0" collapsed="false">
      <c r="A279" s="372"/>
      <c r="B279" s="372"/>
      <c r="C279" s="372"/>
      <c r="D279" s="372"/>
      <c r="E279" s="372"/>
      <c r="F279" s="372"/>
      <c r="G279" s="372"/>
      <c r="H279" s="372"/>
      <c r="I279" s="372"/>
      <c r="J279" s="372"/>
      <c r="K279" s="372"/>
    </row>
    <row r="280" customFormat="false" ht="12.75" hidden="false" customHeight="false" outlineLevel="0" collapsed="false">
      <c r="A280" s="372"/>
      <c r="B280" s="372"/>
      <c r="C280" s="372"/>
      <c r="D280" s="372"/>
      <c r="E280" s="372"/>
      <c r="F280" s="372"/>
      <c r="G280" s="372"/>
      <c r="H280" s="372"/>
      <c r="I280" s="372"/>
      <c r="J280" s="372"/>
      <c r="K280" s="372"/>
    </row>
    <row r="281" customFormat="false" ht="12.75" hidden="false" customHeight="false" outlineLevel="0" collapsed="false">
      <c r="A281" s="372"/>
      <c r="B281" s="372"/>
      <c r="C281" s="372"/>
      <c r="D281" s="372"/>
      <c r="E281" s="372"/>
      <c r="F281" s="372"/>
      <c r="G281" s="372"/>
      <c r="H281" s="372"/>
      <c r="I281" s="372"/>
      <c r="J281" s="372"/>
      <c r="K281" s="372"/>
    </row>
    <row r="282" customFormat="false" ht="12.75" hidden="false" customHeight="false" outlineLevel="0" collapsed="false">
      <c r="A282" s="372"/>
      <c r="B282" s="372"/>
      <c r="C282" s="372"/>
      <c r="D282" s="372"/>
      <c r="E282" s="372"/>
      <c r="F282" s="372"/>
      <c r="G282" s="372"/>
      <c r="H282" s="372"/>
      <c r="I282" s="372"/>
      <c r="J282" s="372"/>
      <c r="K282" s="372"/>
    </row>
    <row r="283" customFormat="false" ht="12.75" hidden="false" customHeight="false" outlineLevel="0" collapsed="false">
      <c r="A283" s="372"/>
      <c r="B283" s="372"/>
      <c r="C283" s="372"/>
      <c r="D283" s="372"/>
      <c r="E283" s="372"/>
      <c r="F283" s="372"/>
      <c r="G283" s="372"/>
      <c r="H283" s="372"/>
      <c r="I283" s="372"/>
      <c r="J283" s="372"/>
      <c r="K283" s="372"/>
    </row>
    <row r="284" customFormat="false" ht="12.75" hidden="false" customHeight="false" outlineLevel="0" collapsed="false">
      <c r="A284" s="372"/>
      <c r="B284" s="372"/>
      <c r="C284" s="372"/>
      <c r="D284" s="372"/>
      <c r="E284" s="372"/>
      <c r="F284" s="372"/>
      <c r="G284" s="372"/>
      <c r="H284" s="372"/>
      <c r="I284" s="372"/>
      <c r="J284" s="372"/>
      <c r="K284" s="372"/>
    </row>
    <row r="285" customFormat="false" ht="12.75" hidden="false" customHeight="false" outlineLevel="0" collapsed="false">
      <c r="A285" s="372"/>
      <c r="B285" s="372"/>
      <c r="C285" s="372"/>
      <c r="D285" s="372"/>
      <c r="E285" s="372"/>
      <c r="F285" s="372"/>
      <c r="G285" s="372"/>
      <c r="H285" s="372"/>
      <c r="I285" s="372"/>
      <c r="J285" s="372"/>
      <c r="K285" s="372"/>
    </row>
    <row r="286" customFormat="false" ht="12.75" hidden="false" customHeight="false" outlineLevel="0" collapsed="false">
      <c r="A286" s="372"/>
      <c r="B286" s="372"/>
      <c r="C286" s="372"/>
      <c r="D286" s="372"/>
      <c r="E286" s="372"/>
      <c r="F286" s="372"/>
      <c r="G286" s="372"/>
      <c r="H286" s="372"/>
      <c r="I286" s="372"/>
      <c r="J286" s="372"/>
      <c r="K286" s="372"/>
    </row>
    <row r="287" customFormat="false" ht="12.75" hidden="false" customHeight="false" outlineLevel="0" collapsed="false">
      <c r="A287" s="372"/>
      <c r="B287" s="372"/>
      <c r="C287" s="372"/>
      <c r="D287" s="372"/>
      <c r="E287" s="372"/>
      <c r="F287" s="372"/>
      <c r="G287" s="372"/>
      <c r="H287" s="372"/>
      <c r="I287" s="372"/>
      <c r="J287" s="372"/>
      <c r="K287" s="372"/>
    </row>
    <row r="288" customFormat="false" ht="12.75" hidden="false" customHeight="false" outlineLevel="0" collapsed="false">
      <c r="A288" s="372"/>
      <c r="B288" s="372"/>
      <c r="C288" s="372"/>
      <c r="D288" s="372"/>
      <c r="E288" s="372"/>
      <c r="F288" s="372"/>
      <c r="G288" s="372"/>
      <c r="H288" s="372"/>
      <c r="I288" s="372"/>
      <c r="J288" s="372"/>
      <c r="K288" s="372"/>
    </row>
    <row r="289" customFormat="false" ht="12.75" hidden="false" customHeight="false" outlineLevel="0" collapsed="false">
      <c r="A289" s="372"/>
      <c r="B289" s="372"/>
      <c r="C289" s="372"/>
      <c r="D289" s="372"/>
      <c r="E289" s="372"/>
      <c r="F289" s="372"/>
      <c r="G289" s="372"/>
      <c r="H289" s="372"/>
      <c r="I289" s="372"/>
      <c r="J289" s="372"/>
      <c r="K289" s="372"/>
    </row>
    <row r="290" customFormat="false" ht="12.75" hidden="false" customHeight="false" outlineLevel="0" collapsed="false">
      <c r="A290" s="372"/>
      <c r="B290" s="372"/>
      <c r="C290" s="372"/>
      <c r="D290" s="372"/>
      <c r="E290" s="372"/>
      <c r="F290" s="372"/>
      <c r="G290" s="372"/>
      <c r="H290" s="372"/>
      <c r="I290" s="372"/>
      <c r="J290" s="372"/>
      <c r="K290" s="372"/>
    </row>
    <row r="291" customFormat="false" ht="12.75" hidden="false" customHeight="false" outlineLevel="0" collapsed="false">
      <c r="A291" s="372"/>
      <c r="B291" s="372"/>
      <c r="C291" s="372"/>
      <c r="D291" s="372"/>
      <c r="E291" s="372"/>
      <c r="F291" s="372"/>
      <c r="G291" s="372"/>
      <c r="H291" s="372"/>
      <c r="I291" s="372"/>
      <c r="J291" s="372"/>
      <c r="K291" s="372"/>
    </row>
    <row r="292" customFormat="false" ht="12.75" hidden="false" customHeight="false" outlineLevel="0" collapsed="false">
      <c r="A292" s="372"/>
      <c r="B292" s="372"/>
      <c r="C292" s="372"/>
      <c r="D292" s="372"/>
      <c r="E292" s="372"/>
      <c r="F292" s="372"/>
      <c r="G292" s="372"/>
      <c r="H292" s="372"/>
      <c r="I292" s="372"/>
      <c r="J292" s="372"/>
      <c r="K292" s="372"/>
    </row>
    <row r="293" customFormat="false" ht="12.75" hidden="false" customHeight="false" outlineLevel="0" collapsed="false">
      <c r="A293" s="372"/>
      <c r="B293" s="372"/>
      <c r="C293" s="372"/>
      <c r="D293" s="372"/>
      <c r="E293" s="372"/>
      <c r="F293" s="372"/>
      <c r="G293" s="372"/>
      <c r="H293" s="372"/>
      <c r="I293" s="372"/>
      <c r="J293" s="372"/>
      <c r="K293" s="372"/>
    </row>
    <row r="294" customFormat="false" ht="12.75" hidden="false" customHeight="false" outlineLevel="0" collapsed="false">
      <c r="A294" s="372"/>
      <c r="B294" s="372"/>
      <c r="C294" s="372"/>
      <c r="D294" s="372"/>
      <c r="E294" s="372"/>
      <c r="F294" s="372"/>
      <c r="G294" s="372"/>
      <c r="H294" s="372"/>
      <c r="I294" s="372"/>
      <c r="J294" s="372"/>
      <c r="K294" s="372"/>
    </row>
    <row r="295" customFormat="false" ht="12.75" hidden="false" customHeight="false" outlineLevel="0" collapsed="false">
      <c r="A295" s="372"/>
      <c r="B295" s="372"/>
      <c r="C295" s="372"/>
      <c r="D295" s="372"/>
      <c r="E295" s="372"/>
      <c r="F295" s="372"/>
      <c r="G295" s="372"/>
      <c r="H295" s="372"/>
      <c r="I295" s="372"/>
      <c r="J295" s="372"/>
      <c r="K295" s="372"/>
    </row>
    <row r="296" customFormat="false" ht="12.75" hidden="false" customHeight="false" outlineLevel="0" collapsed="false">
      <c r="A296" s="372"/>
      <c r="B296" s="372"/>
      <c r="C296" s="372"/>
      <c r="D296" s="372"/>
      <c r="E296" s="372"/>
      <c r="F296" s="372"/>
      <c r="G296" s="372"/>
      <c r="H296" s="372"/>
      <c r="I296" s="372"/>
      <c r="J296" s="372"/>
      <c r="K296" s="372"/>
    </row>
    <row r="297" customFormat="false" ht="12.75" hidden="false" customHeight="false" outlineLevel="0" collapsed="false">
      <c r="A297" s="372"/>
      <c r="B297" s="372"/>
      <c r="C297" s="372"/>
      <c r="D297" s="372"/>
      <c r="E297" s="372"/>
      <c r="F297" s="372"/>
      <c r="G297" s="372"/>
      <c r="H297" s="372"/>
      <c r="I297" s="372"/>
      <c r="J297" s="372"/>
      <c r="K297" s="372"/>
    </row>
    <row r="298" customFormat="false" ht="12.75" hidden="false" customHeight="false" outlineLevel="0" collapsed="false">
      <c r="A298" s="372"/>
      <c r="B298" s="372"/>
      <c r="C298" s="372"/>
      <c r="D298" s="372"/>
      <c r="E298" s="372"/>
      <c r="F298" s="372"/>
      <c r="G298" s="372"/>
      <c r="H298" s="372"/>
      <c r="I298" s="372"/>
      <c r="J298" s="372"/>
      <c r="K298" s="372"/>
    </row>
    <row r="299" customFormat="false" ht="12.75" hidden="false" customHeight="false" outlineLevel="0" collapsed="false">
      <c r="A299" s="372"/>
      <c r="B299" s="372"/>
      <c r="C299" s="372"/>
      <c r="D299" s="372"/>
      <c r="E299" s="372"/>
      <c r="F299" s="372"/>
      <c r="G299" s="372"/>
      <c r="H299" s="372"/>
      <c r="I299" s="372"/>
      <c r="J299" s="372"/>
      <c r="K299" s="372"/>
    </row>
    <row r="300" customFormat="false" ht="12.75" hidden="false" customHeight="false" outlineLevel="0" collapsed="false">
      <c r="A300" s="372"/>
      <c r="B300" s="372"/>
      <c r="C300" s="372"/>
      <c r="D300" s="372"/>
      <c r="E300" s="372"/>
      <c r="F300" s="372"/>
      <c r="G300" s="372"/>
      <c r="H300" s="372"/>
      <c r="I300" s="372"/>
      <c r="J300" s="372"/>
      <c r="K300" s="372"/>
    </row>
    <row r="301" customFormat="false" ht="12.75" hidden="false" customHeight="false" outlineLevel="0" collapsed="false">
      <c r="A301" s="372"/>
      <c r="B301" s="372"/>
      <c r="C301" s="372"/>
      <c r="D301" s="372"/>
      <c r="E301" s="372"/>
      <c r="F301" s="372"/>
      <c r="G301" s="372"/>
      <c r="H301" s="372"/>
      <c r="I301" s="372"/>
      <c r="J301" s="372"/>
      <c r="K301" s="372"/>
    </row>
    <row r="302" customFormat="false" ht="12.75" hidden="false" customHeight="false" outlineLevel="0" collapsed="false">
      <c r="A302" s="372"/>
      <c r="B302" s="372"/>
      <c r="C302" s="372"/>
      <c r="D302" s="372"/>
      <c r="E302" s="372"/>
      <c r="F302" s="372"/>
      <c r="G302" s="372"/>
      <c r="H302" s="372"/>
      <c r="I302" s="372"/>
      <c r="J302" s="372"/>
      <c r="K302" s="372"/>
    </row>
    <row r="303" customFormat="false" ht="12.75" hidden="false" customHeight="false" outlineLevel="0" collapsed="false">
      <c r="A303" s="372"/>
      <c r="B303" s="372"/>
      <c r="C303" s="372"/>
      <c r="D303" s="372"/>
      <c r="E303" s="372"/>
      <c r="F303" s="372"/>
      <c r="G303" s="372"/>
      <c r="H303" s="372"/>
      <c r="I303" s="372"/>
      <c r="J303" s="372"/>
      <c r="K303" s="372"/>
    </row>
    <row r="304" customFormat="false" ht="12.75" hidden="false" customHeight="false" outlineLevel="0" collapsed="false">
      <c r="A304" s="372"/>
      <c r="B304" s="372"/>
      <c r="C304" s="372"/>
      <c r="D304" s="372"/>
      <c r="E304" s="372"/>
      <c r="F304" s="372"/>
      <c r="G304" s="372"/>
      <c r="H304" s="372"/>
      <c r="I304" s="372"/>
      <c r="J304" s="372"/>
      <c r="K304" s="372"/>
    </row>
    <row r="305" customFormat="false" ht="12.75" hidden="false" customHeight="false" outlineLevel="0" collapsed="false">
      <c r="A305" s="372"/>
      <c r="B305" s="372"/>
      <c r="C305" s="372"/>
      <c r="D305" s="372"/>
      <c r="E305" s="372"/>
      <c r="F305" s="372"/>
      <c r="G305" s="372"/>
      <c r="H305" s="372"/>
      <c r="I305" s="372"/>
      <c r="J305" s="372"/>
      <c r="K305" s="372"/>
    </row>
    <row r="306" customFormat="false" ht="12.75" hidden="false" customHeight="false" outlineLevel="0" collapsed="false">
      <c r="A306" s="372"/>
      <c r="B306" s="372"/>
      <c r="C306" s="372"/>
      <c r="D306" s="372"/>
      <c r="E306" s="372"/>
      <c r="F306" s="372"/>
      <c r="G306" s="372"/>
      <c r="H306" s="372"/>
      <c r="I306" s="372"/>
      <c r="J306" s="372"/>
      <c r="K306" s="372"/>
    </row>
    <row r="307" customFormat="false" ht="12.75" hidden="false" customHeight="false" outlineLevel="0" collapsed="false">
      <c r="A307" s="372"/>
      <c r="B307" s="372"/>
      <c r="C307" s="372"/>
      <c r="D307" s="372"/>
      <c r="E307" s="372"/>
      <c r="F307" s="372"/>
      <c r="G307" s="372"/>
      <c r="H307" s="372"/>
      <c r="I307" s="372"/>
      <c r="J307" s="372"/>
      <c r="K307" s="372"/>
    </row>
    <row r="308" customFormat="false" ht="12.75" hidden="false" customHeight="false" outlineLevel="0" collapsed="false">
      <c r="A308" s="372"/>
      <c r="B308" s="372"/>
      <c r="C308" s="372"/>
      <c r="D308" s="372"/>
      <c r="E308" s="372"/>
      <c r="F308" s="372"/>
      <c r="G308" s="372"/>
      <c r="H308" s="372"/>
      <c r="I308" s="372"/>
      <c r="J308" s="372"/>
      <c r="K308" s="372"/>
    </row>
    <row r="309" customFormat="false" ht="12.75" hidden="false" customHeight="false" outlineLevel="0" collapsed="false">
      <c r="A309" s="372"/>
      <c r="B309" s="372"/>
      <c r="C309" s="372"/>
      <c r="D309" s="372"/>
      <c r="E309" s="372"/>
      <c r="F309" s="372"/>
      <c r="G309" s="372"/>
      <c r="H309" s="372"/>
      <c r="I309" s="372"/>
      <c r="J309" s="372"/>
      <c r="K309" s="372"/>
    </row>
    <row r="310" customFormat="false" ht="12.75" hidden="false" customHeight="false" outlineLevel="0" collapsed="false">
      <c r="A310" s="372"/>
      <c r="B310" s="372"/>
      <c r="C310" s="372"/>
      <c r="D310" s="372"/>
      <c r="E310" s="372"/>
      <c r="F310" s="372"/>
      <c r="G310" s="372"/>
      <c r="H310" s="372"/>
      <c r="I310" s="372"/>
      <c r="J310" s="372"/>
      <c r="K310" s="372"/>
    </row>
    <row r="311" customFormat="false" ht="12.75" hidden="false" customHeight="false" outlineLevel="0" collapsed="false">
      <c r="A311" s="372"/>
      <c r="B311" s="372"/>
      <c r="C311" s="372"/>
      <c r="D311" s="372"/>
      <c r="E311" s="372"/>
      <c r="F311" s="372"/>
      <c r="G311" s="372"/>
      <c r="H311" s="372"/>
      <c r="I311" s="372"/>
      <c r="J311" s="372"/>
      <c r="K311" s="372"/>
    </row>
    <row r="312" customFormat="false" ht="12.75" hidden="false" customHeight="false" outlineLevel="0" collapsed="false">
      <c r="A312" s="372"/>
      <c r="B312" s="372"/>
      <c r="C312" s="372"/>
      <c r="D312" s="372"/>
      <c r="E312" s="372"/>
      <c r="F312" s="372"/>
      <c r="G312" s="372"/>
      <c r="H312" s="372"/>
      <c r="I312" s="372"/>
      <c r="J312" s="372"/>
      <c r="K312" s="372"/>
    </row>
    <row r="313" customFormat="false" ht="12.75" hidden="false" customHeight="false" outlineLevel="0" collapsed="false">
      <c r="A313" s="372"/>
      <c r="B313" s="372"/>
      <c r="C313" s="372"/>
      <c r="D313" s="372"/>
      <c r="E313" s="372"/>
      <c r="F313" s="372"/>
      <c r="G313" s="372"/>
      <c r="H313" s="372"/>
      <c r="I313" s="372"/>
      <c r="J313" s="372"/>
      <c r="K313" s="372"/>
    </row>
    <row r="314" customFormat="false" ht="12.75" hidden="false" customHeight="false" outlineLevel="0" collapsed="false">
      <c r="A314" s="372"/>
      <c r="B314" s="372"/>
      <c r="C314" s="372"/>
      <c r="D314" s="372"/>
      <c r="E314" s="372"/>
      <c r="F314" s="372"/>
      <c r="G314" s="372"/>
      <c r="H314" s="372"/>
      <c r="I314" s="372"/>
      <c r="J314" s="372"/>
      <c r="K314" s="372"/>
    </row>
    <row r="315" customFormat="false" ht="12.75" hidden="false" customHeight="false" outlineLevel="0" collapsed="false">
      <c r="A315" s="372"/>
      <c r="B315" s="372"/>
      <c r="C315" s="372"/>
      <c r="D315" s="372"/>
      <c r="E315" s="372"/>
      <c r="F315" s="372"/>
      <c r="G315" s="372"/>
      <c r="H315" s="372"/>
      <c r="I315" s="372"/>
      <c r="J315" s="372"/>
      <c r="K315" s="372"/>
    </row>
    <row r="316" customFormat="false" ht="12.75" hidden="false" customHeight="false" outlineLevel="0" collapsed="false">
      <c r="A316" s="372"/>
      <c r="B316" s="372"/>
      <c r="C316" s="372"/>
      <c r="D316" s="372"/>
      <c r="E316" s="372"/>
      <c r="F316" s="372"/>
      <c r="G316" s="372"/>
      <c r="H316" s="372"/>
      <c r="I316" s="372"/>
      <c r="J316" s="372"/>
      <c r="K316" s="372"/>
    </row>
    <row r="317" customFormat="false" ht="12.75" hidden="false" customHeight="false" outlineLevel="0" collapsed="false">
      <c r="A317" s="372"/>
      <c r="B317" s="372"/>
      <c r="C317" s="372"/>
      <c r="D317" s="372"/>
      <c r="E317" s="372"/>
      <c r="F317" s="372"/>
      <c r="G317" s="372"/>
      <c r="H317" s="372"/>
      <c r="I317" s="372"/>
      <c r="J317" s="372"/>
      <c r="K317" s="372"/>
    </row>
    <row r="318" customFormat="false" ht="12.75" hidden="false" customHeight="false" outlineLevel="0" collapsed="false">
      <c r="A318" s="372"/>
      <c r="B318" s="372"/>
      <c r="C318" s="372"/>
      <c r="D318" s="372"/>
      <c r="E318" s="372"/>
      <c r="F318" s="372"/>
      <c r="G318" s="372"/>
      <c r="H318" s="372"/>
      <c r="I318" s="372"/>
      <c r="J318" s="372"/>
      <c r="K318" s="372"/>
    </row>
    <row r="319" customFormat="false" ht="12.75" hidden="false" customHeight="false" outlineLevel="0" collapsed="false">
      <c r="A319" s="372"/>
      <c r="B319" s="372"/>
      <c r="C319" s="372"/>
      <c r="D319" s="372"/>
      <c r="E319" s="372"/>
      <c r="F319" s="372"/>
      <c r="G319" s="372"/>
      <c r="H319" s="372"/>
      <c r="I319" s="372"/>
      <c r="J319" s="372"/>
      <c r="K319" s="372"/>
    </row>
    <row r="320" customFormat="false" ht="12.75" hidden="false" customHeight="false" outlineLevel="0" collapsed="false">
      <c r="A320" s="372"/>
      <c r="B320" s="372"/>
      <c r="C320" s="372"/>
      <c r="D320" s="372"/>
      <c r="E320" s="372"/>
      <c r="F320" s="372"/>
      <c r="G320" s="372"/>
      <c r="H320" s="372"/>
      <c r="I320" s="372"/>
      <c r="J320" s="372"/>
      <c r="K320" s="372"/>
    </row>
    <row r="321" customFormat="false" ht="12.75" hidden="false" customHeight="false" outlineLevel="0" collapsed="false">
      <c r="A321" s="372"/>
      <c r="B321" s="372"/>
      <c r="C321" s="372"/>
      <c r="D321" s="372"/>
      <c r="E321" s="372"/>
      <c r="F321" s="372"/>
      <c r="G321" s="372"/>
      <c r="H321" s="372"/>
      <c r="I321" s="372"/>
      <c r="J321" s="372"/>
      <c r="K321" s="372"/>
    </row>
    <row r="322" customFormat="false" ht="12.75" hidden="false" customHeight="false" outlineLevel="0" collapsed="false">
      <c r="A322" s="372"/>
      <c r="B322" s="372"/>
      <c r="C322" s="372"/>
      <c r="D322" s="372"/>
      <c r="E322" s="372"/>
      <c r="F322" s="372"/>
      <c r="G322" s="372"/>
      <c r="H322" s="372"/>
      <c r="I322" s="372"/>
      <c r="J322" s="372"/>
      <c r="K322" s="372"/>
    </row>
    <row r="323" customFormat="false" ht="12.75" hidden="false" customHeight="false" outlineLevel="0" collapsed="false">
      <c r="A323" s="372"/>
      <c r="B323" s="372"/>
      <c r="C323" s="372"/>
      <c r="D323" s="372"/>
      <c r="E323" s="372"/>
      <c r="F323" s="372"/>
      <c r="G323" s="372"/>
      <c r="H323" s="372"/>
      <c r="I323" s="372"/>
      <c r="J323" s="372"/>
      <c r="K323" s="372"/>
    </row>
    <row r="324" customFormat="false" ht="12.75" hidden="false" customHeight="false" outlineLevel="0" collapsed="false">
      <c r="A324" s="372"/>
      <c r="B324" s="372"/>
      <c r="C324" s="372"/>
      <c r="D324" s="372"/>
      <c r="E324" s="372"/>
      <c r="F324" s="372"/>
      <c r="G324" s="372"/>
      <c r="H324" s="372"/>
      <c r="I324" s="372"/>
      <c r="J324" s="372"/>
      <c r="K324" s="372"/>
    </row>
    <row r="325" customFormat="false" ht="12.75" hidden="false" customHeight="false" outlineLevel="0" collapsed="false">
      <c r="A325" s="372"/>
      <c r="B325" s="372"/>
      <c r="C325" s="372"/>
      <c r="D325" s="372"/>
      <c r="E325" s="372"/>
      <c r="F325" s="372"/>
      <c r="G325" s="372"/>
      <c r="H325" s="372"/>
      <c r="I325" s="372"/>
      <c r="J325" s="372"/>
      <c r="K325" s="372"/>
    </row>
    <row r="326" customFormat="false" ht="12.75" hidden="false" customHeight="false" outlineLevel="0" collapsed="false">
      <c r="A326" s="372"/>
      <c r="B326" s="372"/>
      <c r="C326" s="372"/>
      <c r="D326" s="372"/>
      <c r="E326" s="372"/>
      <c r="F326" s="372"/>
      <c r="G326" s="372"/>
      <c r="H326" s="372"/>
      <c r="I326" s="372"/>
      <c r="J326" s="372"/>
      <c r="K326" s="372"/>
    </row>
    <row r="327" customFormat="false" ht="12.75" hidden="false" customHeight="false" outlineLevel="0" collapsed="false">
      <c r="A327" s="372"/>
      <c r="B327" s="372"/>
      <c r="C327" s="372"/>
      <c r="D327" s="372"/>
      <c r="E327" s="372"/>
      <c r="F327" s="372"/>
      <c r="G327" s="372"/>
      <c r="H327" s="372"/>
      <c r="I327" s="372"/>
      <c r="J327" s="372"/>
      <c r="K327" s="372"/>
    </row>
    <row r="328" customFormat="false" ht="12.75" hidden="false" customHeight="false" outlineLevel="0" collapsed="false">
      <c r="A328" s="372"/>
      <c r="B328" s="372"/>
      <c r="C328" s="372"/>
      <c r="D328" s="372"/>
      <c r="E328" s="372"/>
      <c r="F328" s="372"/>
      <c r="G328" s="372"/>
      <c r="H328" s="372"/>
      <c r="I328" s="372"/>
      <c r="J328" s="372"/>
      <c r="K328" s="372"/>
    </row>
    <row r="329" customFormat="false" ht="12.75" hidden="false" customHeight="false" outlineLevel="0" collapsed="false">
      <c r="A329" s="372"/>
      <c r="B329" s="372"/>
      <c r="C329" s="372"/>
      <c r="D329" s="372"/>
      <c r="E329" s="372"/>
      <c r="F329" s="372"/>
      <c r="G329" s="372"/>
      <c r="H329" s="372"/>
      <c r="I329" s="372"/>
      <c r="J329" s="372"/>
      <c r="K329" s="372"/>
    </row>
    <row r="330" customFormat="false" ht="12.75" hidden="false" customHeight="false" outlineLevel="0" collapsed="false">
      <c r="A330" s="372"/>
      <c r="B330" s="372"/>
      <c r="C330" s="372"/>
      <c r="D330" s="372"/>
      <c r="E330" s="372"/>
      <c r="F330" s="372"/>
      <c r="G330" s="372"/>
      <c r="H330" s="372"/>
      <c r="I330" s="372"/>
      <c r="J330" s="372"/>
      <c r="K330" s="372"/>
    </row>
    <row r="331" customFormat="false" ht="12.75" hidden="false" customHeight="false" outlineLevel="0" collapsed="false">
      <c r="A331" s="372"/>
      <c r="B331" s="372"/>
      <c r="C331" s="372"/>
      <c r="D331" s="372"/>
      <c r="E331" s="372"/>
      <c r="F331" s="372"/>
      <c r="G331" s="372"/>
      <c r="H331" s="372"/>
      <c r="I331" s="372"/>
      <c r="J331" s="372"/>
      <c r="K331" s="372"/>
    </row>
    <row r="332" customFormat="false" ht="12.75" hidden="false" customHeight="false" outlineLevel="0" collapsed="false">
      <c r="A332" s="372"/>
      <c r="B332" s="372"/>
      <c r="C332" s="372"/>
      <c r="D332" s="372"/>
      <c r="E332" s="372"/>
      <c r="F332" s="372"/>
      <c r="G332" s="372"/>
      <c r="H332" s="372"/>
      <c r="I332" s="372"/>
      <c r="J332" s="372"/>
      <c r="K332" s="372"/>
    </row>
    <row r="333" customFormat="false" ht="12.75" hidden="false" customHeight="false" outlineLevel="0" collapsed="false">
      <c r="A333" s="372"/>
      <c r="B333" s="372"/>
      <c r="C333" s="372"/>
      <c r="D333" s="372"/>
      <c r="E333" s="372"/>
      <c r="F333" s="372"/>
      <c r="G333" s="372"/>
      <c r="H333" s="372"/>
      <c r="I333" s="372"/>
      <c r="J333" s="372"/>
      <c r="K333" s="372"/>
    </row>
    <row r="334" customFormat="false" ht="12.75" hidden="false" customHeight="false" outlineLevel="0" collapsed="false">
      <c r="A334" s="372"/>
      <c r="B334" s="372"/>
      <c r="C334" s="372"/>
      <c r="D334" s="372"/>
      <c r="E334" s="372"/>
      <c r="F334" s="372"/>
      <c r="G334" s="372"/>
      <c r="H334" s="372"/>
      <c r="I334" s="372"/>
      <c r="J334" s="372"/>
      <c r="K334" s="372"/>
    </row>
    <row r="335" customFormat="false" ht="12.75" hidden="false" customHeight="false" outlineLevel="0" collapsed="false">
      <c r="A335" s="372"/>
      <c r="B335" s="372"/>
      <c r="C335" s="372"/>
      <c r="D335" s="372"/>
      <c r="E335" s="372"/>
      <c r="F335" s="372"/>
      <c r="G335" s="372"/>
      <c r="H335" s="372"/>
      <c r="I335" s="372"/>
      <c r="J335" s="372"/>
      <c r="K335" s="372"/>
    </row>
    <row r="336" customFormat="false" ht="12.75" hidden="false" customHeight="false" outlineLevel="0" collapsed="false">
      <c r="A336" s="372"/>
      <c r="B336" s="372"/>
      <c r="C336" s="372"/>
      <c r="D336" s="372"/>
      <c r="E336" s="372"/>
      <c r="F336" s="372"/>
      <c r="G336" s="372"/>
      <c r="H336" s="372"/>
      <c r="I336" s="372"/>
      <c r="J336" s="372"/>
      <c r="K336" s="372"/>
    </row>
    <row r="337" customFormat="false" ht="12.75" hidden="false" customHeight="false" outlineLevel="0" collapsed="false">
      <c r="A337" s="372"/>
      <c r="B337" s="372"/>
      <c r="C337" s="372"/>
      <c r="D337" s="372"/>
      <c r="E337" s="372"/>
      <c r="F337" s="372"/>
      <c r="G337" s="372"/>
      <c r="H337" s="372"/>
      <c r="I337" s="372"/>
      <c r="J337" s="372"/>
      <c r="K337" s="372"/>
    </row>
    <row r="338" customFormat="false" ht="12.75" hidden="false" customHeight="false" outlineLevel="0" collapsed="false">
      <c r="A338" s="372"/>
      <c r="B338" s="372"/>
      <c r="C338" s="372"/>
      <c r="D338" s="372"/>
      <c r="E338" s="372"/>
      <c r="F338" s="372"/>
      <c r="G338" s="372"/>
      <c r="H338" s="372"/>
      <c r="I338" s="372"/>
      <c r="J338" s="372"/>
      <c r="K338" s="372"/>
    </row>
    <row r="339" customFormat="false" ht="12.75" hidden="false" customHeight="false" outlineLevel="0" collapsed="false">
      <c r="A339" s="372"/>
      <c r="B339" s="372"/>
      <c r="C339" s="372"/>
      <c r="D339" s="372"/>
      <c r="E339" s="372"/>
      <c r="F339" s="372"/>
      <c r="G339" s="372"/>
      <c r="H339" s="372"/>
      <c r="I339" s="372"/>
      <c r="J339" s="372"/>
      <c r="K339" s="372"/>
    </row>
    <row r="340" customFormat="false" ht="12.75" hidden="false" customHeight="false" outlineLevel="0" collapsed="false">
      <c r="A340" s="372"/>
      <c r="B340" s="372"/>
      <c r="C340" s="372"/>
      <c r="D340" s="372"/>
      <c r="E340" s="372"/>
      <c r="F340" s="372"/>
      <c r="G340" s="372"/>
      <c r="H340" s="372"/>
      <c r="I340" s="372"/>
      <c r="J340" s="372"/>
      <c r="K340" s="372"/>
    </row>
    <row r="341" customFormat="false" ht="12.75" hidden="false" customHeight="false" outlineLevel="0" collapsed="false">
      <c r="A341" s="372"/>
      <c r="B341" s="372"/>
      <c r="C341" s="372"/>
      <c r="D341" s="372"/>
      <c r="E341" s="372"/>
      <c r="F341" s="372"/>
      <c r="G341" s="372"/>
      <c r="H341" s="372"/>
      <c r="I341" s="372"/>
      <c r="J341" s="372"/>
      <c r="K341" s="372"/>
    </row>
    <row r="342" customFormat="false" ht="12.75" hidden="false" customHeight="false" outlineLevel="0" collapsed="false">
      <c r="A342" s="372"/>
      <c r="B342" s="372"/>
      <c r="C342" s="372"/>
      <c r="D342" s="372"/>
      <c r="E342" s="372"/>
      <c r="F342" s="372"/>
      <c r="G342" s="372"/>
      <c r="H342" s="372"/>
      <c r="I342" s="372"/>
      <c r="J342" s="372"/>
      <c r="K342" s="372"/>
    </row>
    <row r="343" customFormat="false" ht="12.75" hidden="false" customHeight="false" outlineLevel="0" collapsed="false">
      <c r="A343" s="372"/>
      <c r="B343" s="372"/>
      <c r="C343" s="372"/>
      <c r="D343" s="372"/>
      <c r="E343" s="372"/>
      <c r="F343" s="372"/>
      <c r="G343" s="372"/>
      <c r="H343" s="372"/>
      <c r="I343" s="372"/>
      <c r="J343" s="372"/>
      <c r="K343" s="372"/>
    </row>
    <row r="344" customFormat="false" ht="12.75" hidden="false" customHeight="false" outlineLevel="0" collapsed="false">
      <c r="A344" s="372"/>
      <c r="B344" s="372"/>
      <c r="C344" s="372"/>
      <c r="D344" s="372"/>
      <c r="E344" s="372"/>
      <c r="F344" s="372"/>
      <c r="G344" s="372"/>
      <c r="H344" s="372"/>
      <c r="I344" s="372"/>
      <c r="J344" s="372"/>
      <c r="K344" s="372"/>
    </row>
    <row r="345" customFormat="false" ht="12.75" hidden="false" customHeight="false" outlineLevel="0" collapsed="false">
      <c r="A345" s="372"/>
      <c r="B345" s="372"/>
      <c r="C345" s="372"/>
      <c r="D345" s="372"/>
      <c r="E345" s="372"/>
      <c r="F345" s="372"/>
      <c r="G345" s="372"/>
      <c r="H345" s="372"/>
      <c r="I345" s="372"/>
      <c r="J345" s="372"/>
      <c r="K345" s="372"/>
    </row>
    <row r="346" customFormat="false" ht="12.75" hidden="false" customHeight="false" outlineLevel="0" collapsed="false">
      <c r="A346" s="372"/>
      <c r="B346" s="372"/>
      <c r="C346" s="372"/>
      <c r="D346" s="372"/>
      <c r="E346" s="372"/>
      <c r="F346" s="372"/>
      <c r="G346" s="372"/>
      <c r="H346" s="372"/>
      <c r="I346" s="372"/>
      <c r="J346" s="372"/>
      <c r="K346" s="372"/>
    </row>
    <row r="347" customFormat="false" ht="12.75" hidden="false" customHeight="false" outlineLevel="0" collapsed="false">
      <c r="A347" s="372"/>
      <c r="B347" s="372"/>
      <c r="C347" s="372"/>
      <c r="D347" s="372"/>
      <c r="E347" s="372"/>
      <c r="F347" s="372"/>
      <c r="G347" s="372"/>
      <c r="H347" s="372"/>
      <c r="I347" s="372"/>
      <c r="J347" s="372"/>
      <c r="K347" s="372"/>
    </row>
    <row r="348" customFormat="false" ht="12.75" hidden="false" customHeight="false" outlineLevel="0" collapsed="false">
      <c r="A348" s="372"/>
      <c r="B348" s="372"/>
      <c r="C348" s="372"/>
      <c r="D348" s="372"/>
      <c r="E348" s="372"/>
      <c r="F348" s="372"/>
      <c r="G348" s="372"/>
      <c r="H348" s="372"/>
      <c r="I348" s="372"/>
      <c r="J348" s="372"/>
      <c r="K348" s="372"/>
    </row>
    <row r="349" customFormat="false" ht="12.75" hidden="false" customHeight="false" outlineLevel="0" collapsed="false">
      <c r="A349" s="372"/>
      <c r="B349" s="372"/>
      <c r="C349" s="372"/>
      <c r="D349" s="372"/>
      <c r="E349" s="372"/>
      <c r="F349" s="372"/>
      <c r="G349" s="372"/>
      <c r="H349" s="372"/>
      <c r="I349" s="372"/>
      <c r="J349" s="372"/>
      <c r="K349" s="372"/>
    </row>
    <row r="350" customFormat="false" ht="12.75" hidden="false" customHeight="false" outlineLevel="0" collapsed="false">
      <c r="A350" s="372"/>
      <c r="B350" s="372"/>
      <c r="C350" s="372"/>
      <c r="D350" s="372"/>
      <c r="E350" s="372"/>
      <c r="F350" s="372"/>
      <c r="G350" s="372"/>
      <c r="H350" s="372"/>
      <c r="I350" s="372"/>
      <c r="J350" s="372"/>
      <c r="K350" s="372"/>
    </row>
    <row r="351" customFormat="false" ht="12.75" hidden="false" customHeight="false" outlineLevel="0" collapsed="false">
      <c r="A351" s="372"/>
      <c r="B351" s="372"/>
      <c r="C351" s="372"/>
      <c r="D351" s="372"/>
      <c r="E351" s="372"/>
      <c r="F351" s="372"/>
      <c r="G351" s="372"/>
      <c r="H351" s="372"/>
      <c r="I351" s="372"/>
      <c r="J351" s="372"/>
      <c r="K351" s="372"/>
    </row>
    <row r="352" customFormat="false" ht="12.75" hidden="false" customHeight="false" outlineLevel="0" collapsed="false">
      <c r="A352" s="372"/>
      <c r="B352" s="372"/>
      <c r="C352" s="372"/>
      <c r="D352" s="372"/>
      <c r="E352" s="372"/>
      <c r="F352" s="372"/>
      <c r="G352" s="372"/>
      <c r="H352" s="372"/>
      <c r="I352" s="372"/>
      <c r="J352" s="372"/>
      <c r="K352" s="372"/>
    </row>
    <row r="353" customFormat="false" ht="12.75" hidden="false" customHeight="false" outlineLevel="0" collapsed="false">
      <c r="A353" s="372"/>
      <c r="B353" s="372"/>
      <c r="C353" s="372"/>
      <c r="D353" s="372"/>
      <c r="E353" s="372"/>
      <c r="F353" s="372"/>
      <c r="G353" s="372"/>
      <c r="H353" s="372"/>
      <c r="I353" s="372"/>
      <c r="J353" s="372"/>
      <c r="K353" s="372"/>
    </row>
    <row r="354" customFormat="false" ht="12.75" hidden="false" customHeight="false" outlineLevel="0" collapsed="false">
      <c r="A354" s="372"/>
      <c r="B354" s="372"/>
      <c r="C354" s="372"/>
      <c r="D354" s="372"/>
      <c r="E354" s="372"/>
      <c r="F354" s="372"/>
      <c r="G354" s="372"/>
      <c r="H354" s="372"/>
      <c r="I354" s="372"/>
      <c r="J354" s="372"/>
      <c r="K354" s="372"/>
    </row>
    <row r="355" customFormat="false" ht="12.75" hidden="false" customHeight="false" outlineLevel="0" collapsed="false">
      <c r="A355" s="372"/>
      <c r="B355" s="372"/>
      <c r="C355" s="372"/>
      <c r="D355" s="372"/>
      <c r="E355" s="372"/>
      <c r="F355" s="372"/>
      <c r="G355" s="372"/>
      <c r="H355" s="372"/>
      <c r="I355" s="372"/>
      <c r="J355" s="372"/>
      <c r="K355" s="372"/>
    </row>
    <row r="356" customFormat="false" ht="12.75" hidden="false" customHeight="false" outlineLevel="0" collapsed="false">
      <c r="A356" s="372"/>
      <c r="B356" s="372"/>
      <c r="C356" s="372"/>
      <c r="D356" s="372"/>
      <c r="E356" s="372"/>
      <c r="F356" s="372"/>
      <c r="G356" s="372"/>
      <c r="H356" s="372"/>
      <c r="I356" s="372"/>
      <c r="J356" s="372"/>
      <c r="K356" s="372"/>
    </row>
    <row r="357" customFormat="false" ht="12.75" hidden="false" customHeight="false" outlineLevel="0" collapsed="false">
      <c r="A357" s="372"/>
      <c r="B357" s="372"/>
      <c r="C357" s="372"/>
      <c r="D357" s="372"/>
      <c r="E357" s="372"/>
      <c r="F357" s="372"/>
      <c r="G357" s="372"/>
      <c r="H357" s="372"/>
      <c r="I357" s="372"/>
      <c r="J357" s="372"/>
      <c r="K357" s="372"/>
    </row>
    <row r="358" customFormat="false" ht="12.75" hidden="false" customHeight="false" outlineLevel="0" collapsed="false">
      <c r="A358" s="372"/>
      <c r="B358" s="372"/>
      <c r="C358" s="372"/>
      <c r="D358" s="372"/>
      <c r="E358" s="372"/>
      <c r="F358" s="372"/>
      <c r="G358" s="372"/>
      <c r="H358" s="372"/>
      <c r="I358" s="372"/>
      <c r="J358" s="372"/>
      <c r="K358" s="372"/>
    </row>
    <row r="359" customFormat="false" ht="12.75" hidden="false" customHeight="false" outlineLevel="0" collapsed="false">
      <c r="A359" s="372"/>
      <c r="B359" s="372"/>
      <c r="C359" s="372"/>
      <c r="D359" s="372"/>
      <c r="E359" s="372"/>
      <c r="F359" s="372"/>
      <c r="G359" s="372"/>
      <c r="H359" s="372"/>
      <c r="I359" s="372"/>
      <c r="J359" s="372"/>
      <c r="K359" s="372"/>
    </row>
    <row r="360" customFormat="false" ht="12.75" hidden="false" customHeight="false" outlineLevel="0" collapsed="false">
      <c r="A360" s="372"/>
      <c r="B360" s="372"/>
      <c r="C360" s="372"/>
      <c r="D360" s="372"/>
      <c r="E360" s="372"/>
      <c r="F360" s="372"/>
      <c r="G360" s="372"/>
      <c r="H360" s="372"/>
      <c r="I360" s="372"/>
      <c r="J360" s="372"/>
      <c r="K360" s="372"/>
    </row>
    <row r="361" customFormat="false" ht="12.75" hidden="false" customHeight="false" outlineLevel="0" collapsed="false">
      <c r="A361" s="372"/>
      <c r="B361" s="372"/>
      <c r="C361" s="372"/>
      <c r="D361" s="372"/>
      <c r="E361" s="372"/>
      <c r="F361" s="372"/>
      <c r="G361" s="372"/>
      <c r="H361" s="372"/>
      <c r="I361" s="372"/>
      <c r="J361" s="372"/>
      <c r="K361" s="372"/>
    </row>
    <row r="362" customFormat="false" ht="12.75" hidden="false" customHeight="false" outlineLevel="0" collapsed="false">
      <c r="A362" s="372"/>
      <c r="B362" s="372"/>
      <c r="C362" s="372"/>
      <c r="D362" s="372"/>
      <c r="E362" s="372"/>
      <c r="F362" s="372"/>
      <c r="G362" s="372"/>
      <c r="H362" s="372"/>
      <c r="I362" s="372"/>
      <c r="J362" s="372"/>
      <c r="K362" s="372"/>
    </row>
    <row r="363" customFormat="false" ht="12.75" hidden="false" customHeight="false" outlineLevel="0" collapsed="false">
      <c r="A363" s="372"/>
      <c r="B363" s="372"/>
      <c r="C363" s="372"/>
      <c r="D363" s="372"/>
      <c r="E363" s="372"/>
      <c r="F363" s="372"/>
      <c r="G363" s="372"/>
      <c r="H363" s="372"/>
      <c r="I363" s="372"/>
      <c r="J363" s="372"/>
      <c r="K363" s="372"/>
    </row>
    <row r="364" customFormat="false" ht="12.75" hidden="false" customHeight="false" outlineLevel="0" collapsed="false">
      <c r="A364" s="372"/>
      <c r="B364" s="372"/>
      <c r="C364" s="372"/>
      <c r="D364" s="372"/>
      <c r="E364" s="372"/>
      <c r="F364" s="372"/>
      <c r="G364" s="372"/>
      <c r="H364" s="372"/>
      <c r="I364" s="372"/>
      <c r="J364" s="372"/>
      <c r="K364" s="372"/>
    </row>
    <row r="365" customFormat="false" ht="12.75" hidden="false" customHeight="false" outlineLevel="0" collapsed="false">
      <c r="A365" s="372"/>
      <c r="B365" s="372"/>
      <c r="C365" s="372"/>
      <c r="D365" s="372"/>
      <c r="E365" s="372"/>
      <c r="F365" s="372"/>
      <c r="G365" s="372"/>
      <c r="H365" s="372"/>
      <c r="I365" s="372"/>
      <c r="J365" s="372"/>
      <c r="K365" s="372"/>
    </row>
    <row r="366" customFormat="false" ht="12.75" hidden="false" customHeight="false" outlineLevel="0" collapsed="false">
      <c r="A366" s="372"/>
      <c r="B366" s="372"/>
      <c r="C366" s="372"/>
      <c r="D366" s="372"/>
      <c r="E366" s="372"/>
      <c r="F366" s="372"/>
      <c r="G366" s="372"/>
      <c r="H366" s="372"/>
      <c r="I366" s="372"/>
      <c r="J366" s="372"/>
      <c r="K366" s="372"/>
    </row>
    <row r="367" customFormat="false" ht="12.75" hidden="false" customHeight="false" outlineLevel="0" collapsed="false">
      <c r="A367" s="372"/>
      <c r="B367" s="372"/>
      <c r="C367" s="372"/>
      <c r="D367" s="372"/>
      <c r="E367" s="372"/>
      <c r="F367" s="372"/>
      <c r="G367" s="372"/>
      <c r="H367" s="372"/>
      <c r="I367" s="372"/>
      <c r="J367" s="372"/>
      <c r="K367" s="372"/>
    </row>
    <row r="368" customFormat="false" ht="12.75" hidden="false" customHeight="false" outlineLevel="0" collapsed="false">
      <c r="A368" s="372"/>
      <c r="B368" s="372"/>
      <c r="C368" s="372"/>
      <c r="D368" s="372"/>
      <c r="E368" s="372"/>
      <c r="F368" s="372"/>
      <c r="G368" s="372"/>
      <c r="H368" s="372"/>
      <c r="I368" s="372"/>
      <c r="J368" s="372"/>
      <c r="K368" s="372"/>
    </row>
    <row r="369" customFormat="false" ht="12.75" hidden="false" customHeight="false" outlineLevel="0" collapsed="false">
      <c r="A369" s="372"/>
      <c r="B369" s="372"/>
      <c r="C369" s="372"/>
      <c r="D369" s="372"/>
      <c r="E369" s="372"/>
      <c r="F369" s="372"/>
      <c r="G369" s="372"/>
      <c r="H369" s="372"/>
      <c r="I369" s="372"/>
      <c r="J369" s="372"/>
      <c r="K369" s="372"/>
    </row>
    <row r="370" customFormat="false" ht="12.75" hidden="false" customHeight="false" outlineLevel="0" collapsed="false">
      <c r="A370" s="372"/>
      <c r="B370" s="372"/>
      <c r="C370" s="372"/>
      <c r="D370" s="372"/>
      <c r="E370" s="372"/>
      <c r="F370" s="372"/>
      <c r="G370" s="372"/>
      <c r="H370" s="372"/>
      <c r="I370" s="372"/>
      <c r="J370" s="372"/>
      <c r="K370" s="372"/>
    </row>
    <row r="371" customFormat="false" ht="12.75" hidden="false" customHeight="false" outlineLevel="0" collapsed="false">
      <c r="A371" s="372"/>
      <c r="B371" s="372"/>
      <c r="C371" s="372"/>
      <c r="D371" s="372"/>
      <c r="E371" s="372"/>
      <c r="F371" s="372"/>
      <c r="G371" s="372"/>
      <c r="H371" s="372"/>
      <c r="I371" s="372"/>
      <c r="J371" s="372"/>
      <c r="K371" s="372"/>
    </row>
    <row r="372" customFormat="false" ht="12.75" hidden="false" customHeight="false" outlineLevel="0" collapsed="false">
      <c r="A372" s="372"/>
      <c r="B372" s="372"/>
      <c r="C372" s="372"/>
      <c r="D372" s="372"/>
      <c r="E372" s="372"/>
      <c r="F372" s="372"/>
      <c r="G372" s="372"/>
      <c r="H372" s="372"/>
      <c r="I372" s="372"/>
      <c r="J372" s="372"/>
      <c r="K372" s="372"/>
    </row>
    <row r="373" customFormat="false" ht="12.75" hidden="false" customHeight="false" outlineLevel="0" collapsed="false">
      <c r="A373" s="372"/>
      <c r="B373" s="372"/>
      <c r="C373" s="372"/>
      <c r="D373" s="372"/>
      <c r="E373" s="372"/>
      <c r="F373" s="372"/>
      <c r="G373" s="372"/>
      <c r="H373" s="372"/>
      <c r="I373" s="372"/>
      <c r="J373" s="372"/>
      <c r="K373" s="372"/>
    </row>
    <row r="374" customFormat="false" ht="12.75" hidden="false" customHeight="false" outlineLevel="0" collapsed="false">
      <c r="A374" s="372"/>
      <c r="B374" s="372"/>
      <c r="C374" s="372"/>
      <c r="D374" s="372"/>
      <c r="E374" s="372"/>
      <c r="F374" s="372"/>
      <c r="G374" s="372"/>
      <c r="H374" s="372"/>
      <c r="I374" s="372"/>
      <c r="J374" s="372"/>
      <c r="K374" s="372"/>
    </row>
    <row r="375" customFormat="false" ht="12.75" hidden="false" customHeight="false" outlineLevel="0" collapsed="false">
      <c r="A375" s="372"/>
      <c r="B375" s="372"/>
      <c r="C375" s="372"/>
      <c r="D375" s="372"/>
      <c r="E375" s="372"/>
      <c r="F375" s="372"/>
      <c r="G375" s="372"/>
      <c r="H375" s="372"/>
      <c r="I375" s="372"/>
      <c r="J375" s="372"/>
      <c r="K375" s="372"/>
    </row>
    <row r="376" customFormat="false" ht="12.75" hidden="false" customHeight="false" outlineLevel="0" collapsed="false">
      <c r="A376" s="372"/>
      <c r="B376" s="372"/>
      <c r="C376" s="372"/>
      <c r="D376" s="372"/>
      <c r="E376" s="372"/>
      <c r="F376" s="372"/>
      <c r="G376" s="372"/>
      <c r="H376" s="372"/>
      <c r="I376" s="372"/>
      <c r="J376" s="372"/>
      <c r="K376" s="372"/>
    </row>
    <row r="377" customFormat="false" ht="12.75" hidden="false" customHeight="false" outlineLevel="0" collapsed="false">
      <c r="A377" s="372"/>
      <c r="B377" s="372"/>
      <c r="C377" s="372"/>
      <c r="D377" s="372"/>
      <c r="E377" s="372"/>
      <c r="F377" s="372"/>
      <c r="G377" s="372"/>
      <c r="H377" s="372"/>
      <c r="I377" s="372"/>
      <c r="J377" s="372"/>
      <c r="K377" s="372"/>
    </row>
    <row r="378" customFormat="false" ht="12.75" hidden="false" customHeight="false" outlineLevel="0" collapsed="false">
      <c r="A378" s="372"/>
      <c r="B378" s="372"/>
      <c r="C378" s="372"/>
      <c r="D378" s="372"/>
      <c r="E378" s="372"/>
      <c r="F378" s="372"/>
      <c r="G378" s="372"/>
      <c r="H378" s="372"/>
      <c r="I378" s="372"/>
      <c r="J378" s="372"/>
      <c r="K378" s="372"/>
    </row>
    <row r="379" customFormat="false" ht="12.75" hidden="false" customHeight="false" outlineLevel="0" collapsed="false">
      <c r="A379" s="372"/>
      <c r="B379" s="372"/>
      <c r="C379" s="372"/>
      <c r="D379" s="372"/>
      <c r="E379" s="372"/>
      <c r="F379" s="372"/>
      <c r="G379" s="372"/>
      <c r="H379" s="372"/>
      <c r="I379" s="372"/>
      <c r="J379" s="372"/>
      <c r="K379" s="372"/>
    </row>
    <row r="380" customFormat="false" ht="12.75" hidden="false" customHeight="false" outlineLevel="0" collapsed="false">
      <c r="A380" s="372"/>
      <c r="B380" s="372"/>
      <c r="C380" s="372"/>
      <c r="D380" s="372"/>
      <c r="E380" s="372"/>
      <c r="F380" s="372"/>
      <c r="G380" s="372"/>
      <c r="H380" s="372"/>
      <c r="I380" s="372"/>
      <c r="J380" s="372"/>
      <c r="K380" s="372"/>
    </row>
    <row r="381" customFormat="false" ht="12.75" hidden="false" customHeight="false" outlineLevel="0" collapsed="false">
      <c r="A381" s="372"/>
      <c r="B381" s="372"/>
      <c r="C381" s="372"/>
      <c r="D381" s="372"/>
      <c r="E381" s="372"/>
      <c r="F381" s="372"/>
      <c r="G381" s="372"/>
      <c r="H381" s="372"/>
      <c r="I381" s="372"/>
      <c r="J381" s="372"/>
      <c r="K381" s="372"/>
    </row>
    <row r="382" customFormat="false" ht="12.75" hidden="false" customHeight="false" outlineLevel="0" collapsed="false">
      <c r="A382" s="372"/>
      <c r="B382" s="372"/>
      <c r="C382" s="372"/>
      <c r="D382" s="372"/>
      <c r="E382" s="372"/>
      <c r="F382" s="372"/>
      <c r="G382" s="372"/>
      <c r="H382" s="372"/>
      <c r="I382" s="372"/>
      <c r="J382" s="372"/>
      <c r="K382" s="372"/>
    </row>
    <row r="383" customFormat="false" ht="12.75" hidden="false" customHeight="false" outlineLevel="0" collapsed="false">
      <c r="A383" s="372"/>
      <c r="B383" s="372"/>
      <c r="C383" s="372"/>
      <c r="D383" s="372"/>
      <c r="E383" s="372"/>
      <c r="F383" s="372"/>
      <c r="G383" s="372"/>
      <c r="H383" s="372"/>
      <c r="I383" s="372"/>
      <c r="J383" s="372"/>
      <c r="K383" s="372"/>
    </row>
    <row r="384" customFormat="false" ht="12.75" hidden="false" customHeight="false" outlineLevel="0" collapsed="false">
      <c r="A384" s="372"/>
      <c r="B384" s="372"/>
      <c r="C384" s="372"/>
      <c r="D384" s="372"/>
      <c r="E384" s="372"/>
      <c r="F384" s="372"/>
      <c r="G384" s="372"/>
      <c r="H384" s="372"/>
      <c r="I384" s="372"/>
      <c r="J384" s="372"/>
      <c r="K384" s="372"/>
    </row>
    <row r="385" customFormat="false" ht="12.75" hidden="false" customHeight="false" outlineLevel="0" collapsed="false">
      <c r="A385" s="372"/>
      <c r="B385" s="372"/>
      <c r="C385" s="372"/>
      <c r="D385" s="372"/>
      <c r="E385" s="372"/>
      <c r="F385" s="372"/>
      <c r="G385" s="372"/>
      <c r="H385" s="372"/>
      <c r="I385" s="372"/>
      <c r="J385" s="372"/>
      <c r="K385" s="372"/>
    </row>
    <row r="386" customFormat="false" ht="12.75" hidden="false" customHeight="false" outlineLevel="0" collapsed="false">
      <c r="A386" s="372"/>
      <c r="B386" s="372"/>
      <c r="C386" s="372"/>
      <c r="D386" s="372"/>
      <c r="E386" s="372"/>
      <c r="F386" s="372"/>
      <c r="G386" s="372"/>
      <c r="H386" s="372"/>
      <c r="I386" s="372"/>
      <c r="J386" s="372"/>
      <c r="K386" s="372"/>
    </row>
    <row r="387" customFormat="false" ht="12.75" hidden="false" customHeight="false" outlineLevel="0" collapsed="false">
      <c r="A387" s="372"/>
      <c r="B387" s="372"/>
      <c r="C387" s="372"/>
      <c r="D387" s="372"/>
      <c r="E387" s="372"/>
      <c r="F387" s="372"/>
      <c r="G387" s="372"/>
      <c r="H387" s="372"/>
      <c r="I387" s="372"/>
      <c r="J387" s="372"/>
      <c r="K387" s="372"/>
    </row>
    <row r="388" customFormat="false" ht="12.75" hidden="false" customHeight="false" outlineLevel="0" collapsed="false">
      <c r="A388" s="372"/>
      <c r="B388" s="372"/>
      <c r="C388" s="372"/>
      <c r="D388" s="372"/>
      <c r="E388" s="372"/>
      <c r="F388" s="372"/>
      <c r="G388" s="372"/>
      <c r="H388" s="372"/>
      <c r="I388" s="372"/>
      <c r="J388" s="372"/>
      <c r="K388" s="372"/>
    </row>
    <row r="389" customFormat="false" ht="12.75" hidden="false" customHeight="false" outlineLevel="0" collapsed="false">
      <c r="A389" s="372"/>
      <c r="B389" s="372"/>
      <c r="C389" s="372"/>
      <c r="D389" s="372"/>
      <c r="E389" s="372"/>
      <c r="F389" s="372"/>
      <c r="G389" s="372"/>
      <c r="H389" s="372"/>
      <c r="I389" s="372"/>
      <c r="J389" s="372"/>
      <c r="K389" s="372"/>
    </row>
    <row r="390" customFormat="false" ht="12.75" hidden="false" customHeight="false" outlineLevel="0" collapsed="false">
      <c r="A390" s="372"/>
      <c r="B390" s="372"/>
      <c r="C390" s="372"/>
      <c r="D390" s="372"/>
      <c r="E390" s="372"/>
      <c r="F390" s="372"/>
      <c r="G390" s="372"/>
      <c r="H390" s="372"/>
      <c r="I390" s="372"/>
      <c r="J390" s="372"/>
      <c r="K390" s="372"/>
    </row>
    <row r="391" customFormat="false" ht="12.75" hidden="false" customHeight="false" outlineLevel="0" collapsed="false">
      <c r="A391" s="372"/>
      <c r="B391" s="372"/>
      <c r="C391" s="372"/>
      <c r="D391" s="372"/>
      <c r="E391" s="372"/>
      <c r="F391" s="372"/>
      <c r="G391" s="372"/>
      <c r="H391" s="372"/>
      <c r="I391" s="372"/>
      <c r="J391" s="372"/>
      <c r="K391" s="372"/>
    </row>
    <row r="392" customFormat="false" ht="12.75" hidden="false" customHeight="false" outlineLevel="0" collapsed="false">
      <c r="A392" s="372"/>
      <c r="B392" s="372"/>
      <c r="C392" s="372"/>
      <c r="D392" s="372"/>
      <c r="E392" s="372"/>
      <c r="F392" s="372"/>
      <c r="G392" s="372"/>
      <c r="H392" s="372"/>
      <c r="I392" s="372"/>
      <c r="J392" s="372"/>
      <c r="K392" s="372"/>
    </row>
    <row r="393" customFormat="false" ht="12.75" hidden="false" customHeight="false" outlineLevel="0" collapsed="false">
      <c r="A393" s="372"/>
      <c r="B393" s="372"/>
      <c r="C393" s="372"/>
      <c r="D393" s="372"/>
      <c r="E393" s="372"/>
      <c r="F393" s="372"/>
      <c r="G393" s="372"/>
      <c r="H393" s="372"/>
      <c r="I393" s="372"/>
      <c r="J393" s="372"/>
      <c r="K393" s="372"/>
    </row>
    <row r="394" customFormat="false" ht="12.75" hidden="false" customHeight="false" outlineLevel="0" collapsed="false">
      <c r="A394" s="372"/>
      <c r="B394" s="372"/>
      <c r="C394" s="372"/>
      <c r="D394" s="372"/>
      <c r="E394" s="372"/>
      <c r="F394" s="372"/>
      <c r="G394" s="372"/>
      <c r="H394" s="372"/>
      <c r="I394" s="372"/>
      <c r="J394" s="372"/>
      <c r="K394" s="372"/>
    </row>
    <row r="395" customFormat="false" ht="12.75" hidden="false" customHeight="false" outlineLevel="0" collapsed="false">
      <c r="A395" s="372"/>
      <c r="B395" s="372"/>
      <c r="C395" s="372"/>
      <c r="D395" s="372"/>
      <c r="E395" s="372"/>
      <c r="F395" s="372"/>
      <c r="G395" s="372"/>
      <c r="H395" s="372"/>
      <c r="I395" s="372"/>
      <c r="J395" s="372"/>
      <c r="K395" s="372"/>
    </row>
    <row r="396" customFormat="false" ht="12.75" hidden="false" customHeight="false" outlineLevel="0" collapsed="false">
      <c r="A396" s="372"/>
      <c r="B396" s="372"/>
      <c r="C396" s="372"/>
      <c r="D396" s="372"/>
      <c r="E396" s="372"/>
      <c r="F396" s="372"/>
      <c r="G396" s="372"/>
      <c r="H396" s="372"/>
      <c r="I396" s="372"/>
      <c r="J396" s="372"/>
      <c r="K396" s="372"/>
    </row>
    <row r="397" customFormat="false" ht="12.75" hidden="false" customHeight="false" outlineLevel="0" collapsed="false">
      <c r="A397" s="372"/>
      <c r="B397" s="372"/>
      <c r="C397" s="372"/>
      <c r="D397" s="372"/>
      <c r="E397" s="372"/>
      <c r="F397" s="372"/>
      <c r="G397" s="372"/>
      <c r="H397" s="372"/>
      <c r="I397" s="372"/>
      <c r="J397" s="372"/>
      <c r="K397" s="372"/>
    </row>
    <row r="398" customFormat="false" ht="12.75" hidden="false" customHeight="false" outlineLevel="0" collapsed="false">
      <c r="A398" s="372"/>
      <c r="B398" s="372"/>
      <c r="C398" s="372"/>
      <c r="D398" s="372"/>
      <c r="E398" s="372"/>
      <c r="F398" s="372"/>
      <c r="G398" s="372"/>
      <c r="H398" s="372"/>
      <c r="I398" s="372"/>
      <c r="J398" s="372"/>
      <c r="K398" s="372"/>
    </row>
    <row r="399" customFormat="false" ht="12.75" hidden="false" customHeight="false" outlineLevel="0" collapsed="false">
      <c r="A399" s="372"/>
      <c r="B399" s="372"/>
      <c r="C399" s="372"/>
      <c r="D399" s="372"/>
      <c r="E399" s="372"/>
      <c r="F399" s="372"/>
      <c r="G399" s="372"/>
      <c r="H399" s="372"/>
      <c r="I399" s="372"/>
      <c r="J399" s="372"/>
      <c r="K399" s="372"/>
    </row>
    <row r="400" customFormat="false" ht="12.75" hidden="false" customHeight="false" outlineLevel="0" collapsed="false">
      <c r="A400" s="372"/>
      <c r="B400" s="372"/>
      <c r="C400" s="372"/>
      <c r="D400" s="372"/>
      <c r="E400" s="372"/>
      <c r="F400" s="372"/>
      <c r="G400" s="372"/>
      <c r="H400" s="372"/>
      <c r="I400" s="372"/>
      <c r="J400" s="372"/>
      <c r="K400" s="372"/>
    </row>
    <row r="401" customFormat="false" ht="12.75" hidden="false" customHeight="false" outlineLevel="0" collapsed="false">
      <c r="A401" s="372"/>
      <c r="B401" s="372"/>
      <c r="C401" s="372"/>
      <c r="D401" s="372"/>
      <c r="E401" s="372"/>
      <c r="F401" s="372"/>
      <c r="G401" s="372"/>
      <c r="H401" s="372"/>
      <c r="I401" s="372"/>
      <c r="J401" s="372"/>
      <c r="K401" s="372"/>
    </row>
    <row r="402" customFormat="false" ht="12.75" hidden="false" customHeight="false" outlineLevel="0" collapsed="false">
      <c r="A402" s="372"/>
      <c r="B402" s="372"/>
      <c r="C402" s="372"/>
      <c r="D402" s="372"/>
      <c r="E402" s="372"/>
      <c r="F402" s="372"/>
      <c r="G402" s="372"/>
      <c r="H402" s="372"/>
      <c r="I402" s="372"/>
      <c r="J402" s="372"/>
      <c r="K402" s="372"/>
    </row>
    <row r="403" customFormat="false" ht="12.75" hidden="false" customHeight="false" outlineLevel="0" collapsed="false">
      <c r="A403" s="372"/>
      <c r="B403" s="372"/>
      <c r="C403" s="372"/>
      <c r="D403" s="372"/>
      <c r="E403" s="372"/>
      <c r="F403" s="372"/>
      <c r="G403" s="372"/>
      <c r="H403" s="372"/>
      <c r="I403" s="372"/>
      <c r="J403" s="372"/>
      <c r="K403" s="372"/>
    </row>
    <row r="404" customFormat="false" ht="12.75" hidden="false" customHeight="false" outlineLevel="0" collapsed="false">
      <c r="A404" s="372"/>
      <c r="B404" s="372"/>
      <c r="C404" s="372"/>
      <c r="D404" s="372"/>
      <c r="E404" s="372"/>
      <c r="F404" s="372"/>
      <c r="G404" s="372"/>
      <c r="H404" s="372"/>
      <c r="I404" s="372"/>
      <c r="J404" s="372"/>
      <c r="K404" s="372"/>
    </row>
    <row r="405" customFormat="false" ht="12.75" hidden="false" customHeight="false" outlineLevel="0" collapsed="false">
      <c r="A405" s="372"/>
      <c r="B405" s="372"/>
      <c r="C405" s="372"/>
      <c r="D405" s="372"/>
      <c r="E405" s="372"/>
      <c r="F405" s="372"/>
      <c r="G405" s="372"/>
      <c r="H405" s="372"/>
      <c r="I405" s="372"/>
      <c r="J405" s="372"/>
      <c r="K405" s="372"/>
    </row>
    <row r="406" customFormat="false" ht="12.75" hidden="false" customHeight="false" outlineLevel="0" collapsed="false">
      <c r="A406" s="372"/>
      <c r="B406" s="372"/>
      <c r="C406" s="372"/>
      <c r="D406" s="372"/>
      <c r="E406" s="372"/>
      <c r="F406" s="372"/>
      <c r="G406" s="372"/>
      <c r="H406" s="372"/>
      <c r="I406" s="372"/>
      <c r="J406" s="372"/>
      <c r="K406" s="372"/>
    </row>
    <row r="407" customFormat="false" ht="12.75" hidden="false" customHeight="false" outlineLevel="0" collapsed="false">
      <c r="A407" s="372"/>
      <c r="B407" s="372"/>
      <c r="C407" s="372"/>
      <c r="D407" s="372"/>
      <c r="E407" s="372"/>
      <c r="F407" s="372"/>
      <c r="G407" s="372"/>
      <c r="H407" s="372"/>
      <c r="I407" s="372"/>
      <c r="J407" s="372"/>
      <c r="K407" s="372"/>
    </row>
    <row r="408" customFormat="false" ht="12.75" hidden="false" customHeight="false" outlineLevel="0" collapsed="false">
      <c r="A408" s="372"/>
      <c r="B408" s="372"/>
      <c r="C408" s="372"/>
      <c r="D408" s="372"/>
      <c r="E408" s="372"/>
      <c r="F408" s="372"/>
      <c r="G408" s="372"/>
      <c r="H408" s="372"/>
      <c r="I408" s="372"/>
      <c r="J408" s="372"/>
      <c r="K408" s="372"/>
    </row>
    <row r="409" customFormat="false" ht="12.75" hidden="false" customHeight="false" outlineLevel="0" collapsed="false">
      <c r="A409" s="372"/>
      <c r="B409" s="372"/>
      <c r="C409" s="372"/>
      <c r="D409" s="372"/>
      <c r="E409" s="372"/>
      <c r="F409" s="372"/>
      <c r="G409" s="372"/>
      <c r="H409" s="372"/>
      <c r="I409" s="372"/>
      <c r="J409" s="372"/>
      <c r="K409" s="372"/>
    </row>
    <row r="410" customFormat="false" ht="12.75" hidden="false" customHeight="false" outlineLevel="0" collapsed="false">
      <c r="A410" s="372"/>
      <c r="B410" s="372"/>
      <c r="C410" s="372"/>
      <c r="D410" s="372"/>
      <c r="E410" s="372"/>
      <c r="F410" s="372"/>
      <c r="G410" s="372"/>
      <c r="H410" s="372"/>
      <c r="I410" s="372"/>
      <c r="J410" s="372"/>
      <c r="K410" s="372"/>
    </row>
    <row r="411" customFormat="false" ht="12.75" hidden="false" customHeight="false" outlineLevel="0" collapsed="false">
      <c r="A411" s="372"/>
      <c r="B411" s="372"/>
      <c r="C411" s="372"/>
      <c r="D411" s="372"/>
      <c r="E411" s="372"/>
      <c r="F411" s="372"/>
      <c r="G411" s="372"/>
      <c r="H411" s="372"/>
      <c r="I411" s="372"/>
      <c r="J411" s="372"/>
      <c r="K411" s="372"/>
    </row>
    <row r="412" customFormat="false" ht="12.75" hidden="false" customHeight="false" outlineLevel="0" collapsed="false">
      <c r="A412" s="372"/>
      <c r="B412" s="372"/>
      <c r="C412" s="372"/>
      <c r="D412" s="372"/>
      <c r="E412" s="372"/>
      <c r="F412" s="372"/>
      <c r="G412" s="372"/>
      <c r="H412" s="372"/>
      <c r="I412" s="372"/>
      <c r="J412" s="372"/>
      <c r="K412" s="372"/>
    </row>
    <row r="413" customFormat="false" ht="12.75" hidden="false" customHeight="false" outlineLevel="0" collapsed="false">
      <c r="A413" s="372"/>
      <c r="B413" s="372"/>
      <c r="C413" s="372"/>
      <c r="D413" s="372"/>
      <c r="E413" s="372"/>
      <c r="F413" s="372"/>
      <c r="G413" s="372"/>
      <c r="H413" s="372"/>
      <c r="I413" s="372"/>
      <c r="J413" s="372"/>
      <c r="K413" s="372"/>
    </row>
    <row r="414" customFormat="false" ht="12.75" hidden="false" customHeight="false" outlineLevel="0" collapsed="false">
      <c r="A414" s="372"/>
      <c r="B414" s="372"/>
      <c r="C414" s="372"/>
      <c r="D414" s="372"/>
      <c r="E414" s="372"/>
      <c r="F414" s="372"/>
      <c r="G414" s="372"/>
      <c r="H414" s="372"/>
      <c r="I414" s="372"/>
      <c r="J414" s="372"/>
      <c r="K414" s="372"/>
    </row>
    <row r="415" customFormat="false" ht="12.75" hidden="false" customHeight="false" outlineLevel="0" collapsed="false">
      <c r="A415" s="372"/>
      <c r="B415" s="372"/>
      <c r="C415" s="372"/>
      <c r="D415" s="372"/>
      <c r="E415" s="372"/>
      <c r="F415" s="372"/>
      <c r="G415" s="372"/>
      <c r="H415" s="372"/>
      <c r="I415" s="372"/>
      <c r="J415" s="372"/>
      <c r="K415" s="372"/>
    </row>
    <row r="416" customFormat="false" ht="12.75" hidden="false" customHeight="false" outlineLevel="0" collapsed="false">
      <c r="A416" s="372"/>
      <c r="B416" s="372"/>
      <c r="C416" s="372"/>
      <c r="D416" s="372"/>
      <c r="E416" s="372"/>
      <c r="F416" s="372"/>
      <c r="G416" s="372"/>
      <c r="H416" s="372"/>
      <c r="I416" s="372"/>
      <c r="J416" s="372"/>
      <c r="K416" s="3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rowBreaks count="1" manualBreakCount="1">
    <brk id="4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2001-01-17T15:18:43Z</dcterms:created>
  <dc:creator>wconwell</dc:creator>
  <dc:description/>
  <dc:language>en-US</dc:language>
  <cp:lastModifiedBy>wconwell</cp:lastModifiedBy>
  <cp:lastPrinted>2001-03-14T22:05:22Z</cp:lastPrinted>
  <dcterms:modified xsi:type="dcterms:W3CDTF">2001-03-14T22:09:57Z</dcterms:modified>
  <cp:revision>0</cp:revision>
  <dc:subject/>
  <dc:title/>
</cp:coreProperties>
</file>