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visible" r:id="rId7"/>
    <sheet name="FIN" sheetId="6" state="visible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BS_IS!$A$1:$J$85</definedName>
    <definedName function="false" hidden="false" localSheetId="1" name="_xlnm.Print_Area" vbProcedure="false">CF!$A$1:$G$70</definedName>
    <definedName function="false" hidden="false" localSheetId="7" name="_xlnm.Print_Area" vbProcedure="false">DEPR!$A$1:$I$44</definedName>
    <definedName function="false" hidden="false" localSheetId="3" name="_xlnm.Print_Area" vbProcedure="false">DRAWDOWN!$A$1:$H$70</definedName>
    <definedName function="false" hidden="false" localSheetId="5" name="_xlnm.Print_Area" vbProcedure="false">FIN!$A$1:$AD$61</definedName>
    <definedName function="false" hidden="false" localSheetId="4" name="_xlnm.Print_Area" vbProcedure="false">IDC!$A$1:$L$34</definedName>
    <definedName function="false" hidden="false" localSheetId="2" name="_xlnm.Print_Area" vbProcedure="false">RETURNS!$A$1:$K$66</definedName>
    <definedName function="false" hidden="false" localSheetId="6" name="_xlnm.Print_Area" vbProcedure="false">TAXES_FEES!$A$1:$AC$15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BS_IS!$A$1:$J$85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CF!$A$1:$G$70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TAXES_FEES!$A$1:$AC$15</definedName>
    <definedName function="false" hidden="false" name="DEBT" vbProcedure="false">ASS!$X$27</definedName>
    <definedName function="false" hidden="false" name="DEBTPERC" vbProcedure="false">ASS!$V$27</definedName>
    <definedName function="false" hidden="false" name="DEPR" vbProcedure="false">DEPR!$A$1:$I$44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ASS!$X$28</definedName>
    <definedName function="false" hidden="false" name="equityperc" vbProcedure="false">ASS!$V$28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RETURNS!$A$1:$K$66</definedName>
    <definedName function="false" hidden="false" name="RET_TABLE" vbProcedure="false">RETURNS!$D$3:$J$53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4</xdr:rowOff>
              </xdr:from>
              <xdr:to>
                <xdr:col>2</xdr:col>
                <xdr:colOff>-12</xdr:colOff>
                <xdr:row>38</xdr:row>
                <xdr:rowOff>8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8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62</xdr:colOff>
                <xdr:row>10</xdr:row>
                <xdr:rowOff>15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</xdr:row>
                <xdr:rowOff>7</xdr:rowOff>
              </xdr:from>
              <xdr:to>
                <xdr:col>7</xdr:col>
                <xdr:colOff>37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9</xdr:col>
                <xdr:colOff>72</xdr:colOff>
                <xdr:row>21</xdr:row>
                <xdr:rowOff>9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5</xdr:rowOff>
              </xdr:from>
              <xdr:to>
                <xdr:col>9</xdr:col>
                <xdr:colOff>72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5</xdr:rowOff>
              </xdr:from>
              <xdr:to>
                <xdr:col>9</xdr:col>
                <xdr:colOff>72</xdr:colOff>
                <xdr:row>25</xdr:row>
                <xdr:rowOff>9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17</xdr:row>
                <xdr:rowOff>7</xdr:rowOff>
              </xdr:from>
              <xdr:to>
                <xdr:col>12</xdr:col>
                <xdr:colOff>52</xdr:colOff>
                <xdr:row>21</xdr:row>
                <xdr:rowOff>9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19</xdr:row>
                <xdr:rowOff>5</xdr:rowOff>
              </xdr:from>
              <xdr:to>
                <xdr:col>12</xdr:col>
                <xdr:colOff>52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21</xdr:row>
                <xdr:rowOff>5</xdr:rowOff>
              </xdr:from>
              <xdr:to>
                <xdr:col>12</xdr:col>
                <xdr:colOff>52</xdr:colOff>
                <xdr:row>25</xdr:row>
                <xdr:rowOff>9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7</xdr:row>
                <xdr:rowOff>11</xdr:rowOff>
              </xdr:from>
              <xdr:to>
                <xdr:col>19</xdr:col>
                <xdr:colOff>115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14</xdr:row>
                <xdr:rowOff>8</xdr:rowOff>
              </xdr:from>
              <xdr:to>
                <xdr:col>19</xdr:col>
                <xdr:colOff>115</xdr:colOff>
                <xdr:row>18</xdr:row>
                <xdr:rowOff>12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44</xdr:row>
                <xdr:rowOff>7</xdr:rowOff>
              </xdr:from>
              <xdr:to>
                <xdr:col>19</xdr:col>
                <xdr:colOff>131</xdr:colOff>
                <xdr:row>48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69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8</xdr:col>
                <xdr:colOff>4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<sst xmlns="http://schemas.openxmlformats.org/spreadsheetml/2006/main" count="576" uniqueCount="383">
  <si>
    <t xml:space="preserve">ASSUMPTIONS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</si>
  <si>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</si>
  <si>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</si>
  <si>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</si>
  <si>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</si>
  <si>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</si>
  <si>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</si>
  <si>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</si>
  <si>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</si>
  <si>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</si>
  <si>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</si>
  <si>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</si>
  <si>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</si>
  <si>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</si>
  <si>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</si>
  <si>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</si>
  <si>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</si>
  <si>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</si>
  <si>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</si>
  <si>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</si>
  <si>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</si>
  <si>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</si>
  <si>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</si>
  <si>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</si>
  <si>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</si>
  <si>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</si>
  <si>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</si>
  <si>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</si>
  <si>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</si>
  <si>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</si>
  <si>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</si>
  <si>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</si>
  <si>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</si>
  <si>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</si>
  <si>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</si>
  <si>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</si>
  <si>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</si>
  <si>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</si>
  <si>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</si>
  <si>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</si>
  <si>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Plus:  Withholding Tax on Dividends</t>
  </si>
  <si>
    <t xml:space="preserve">   Term of Construction (Mos)</t>
  </si>
  <si>
    <t xml:space="preserve">  Construction Costs</t>
  </si>
  <si>
    <t xml:space="preserve">Less:  Development Fees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</si>
  <si>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</si>
  <si>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</si>
  <si>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</si>
  <si>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</si>
  <si>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</si>
  <si>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</si>
  <si>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Less:  Tax Cost/(Benefit) on (1)s above</t>
  </si>
  <si>
    <t xml:space="preserve">   Term of Contract (Yrs)</t>
  </si>
  <si>
    <t xml:space="preserve">n/a</t>
  </si>
  <si>
    <t xml:space="preserve">   TOTAL TRANSMISSION LINE COSTS</t>
  </si>
  <si>
    <t xml:space="preserve">Sub-total Partner Level Adjustments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</si>
  <si>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</si>
  <si>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</si>
  <si>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</si>
  <si>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</si>
  <si>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</si>
  <si>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</si>
  <si>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RECONCILED PROJECT NPV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</si>
  <si>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</si>
  <si>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</si>
  <si>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</si>
  <si>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</si>
  <si>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</si>
  <si>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Unlocated Difference</t>
  </si>
  <si>
    <t xml:space="preserve">Margin to SOCO/FL</t>
  </si>
  <si>
    <t xml:space="preserve">hardcoded</t>
  </si>
  <si>
    <t xml:space="preserve">   TOTAL PIPELINE COSTS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</si>
  <si>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</si>
  <si>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</si>
  <si>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</si>
  <si>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</si>
  <si>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</si>
  <si>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Financing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</si>
  <si>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</si>
  <si>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</si>
  <si>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</si>
  <si>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</si>
  <si>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</si>
  <si>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</si>
  <si>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   Debt/Equity Structure</t>
  </si>
  <si>
    <t xml:space="preserve">(pari-passu, equity last, etc.)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</si>
  <si>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</si>
  <si>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</si>
  <si>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</si>
  <si>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</si>
  <si>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</si>
  <si>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</si>
  <si>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</si>
  <si>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   Debt</t>
  </si>
  <si>
    <t xml:space="preserve">Energy (Variable) Payments:</t>
  </si>
  <si>
    <t xml:space="preserve">  Bank Independent Engineer</t>
  </si>
  <si>
    <t xml:space="preserve">   Equity</t>
  </si>
  <si>
    <t xml:space="preserve">Variable O&amp;M</t>
  </si>
  <si>
    <t xml:space="preserve"> /kWh</t>
  </si>
  <si>
    <t xml:space="preserve">  Completion Bond</t>
  </si>
  <si>
    <t xml:space="preserve">   Total Investment</t>
  </si>
  <si>
    <t xml:space="preserve">Misc</t>
  </si>
  <si>
    <t xml:space="preserve">  Overheads</t>
  </si>
  <si>
    <t xml:space="preserve">Other</t>
  </si>
  <si>
    <t xml:space="preserve">  Insurance -Builders Risk (30 BP on Total Cost)  and delay of operation (.25 of 1st yr DS)</t>
  </si>
  <si>
    <t xml:space="preserve">Interest Rate</t>
  </si>
  <si>
    <t xml:space="preserve">All-in-Cost</t>
  </si>
  <si>
    <t xml:space="preserve">Cents/kWh</t>
  </si>
  <si>
    <t xml:space="preserve">  Permits &amp; Licenses</t>
  </si>
  <si>
    <t xml:space="preserve">Dividend Rate</t>
  </si>
  <si>
    <t xml:space="preserve">  Legal Fees </t>
  </si>
  <si>
    <t xml:space="preserve">Conn.  Line Data </t>
  </si>
  <si>
    <t xml:space="preserve">   TOTAL THIRD PARTY DEVMT/FINANCING COSTS</t>
  </si>
  <si>
    <t xml:space="preserve">Revenue Analysis</t>
  </si>
  <si>
    <t xml:space="preserve">kv</t>
  </si>
  <si>
    <t xml:space="preserve">  Development Fees</t>
  </si>
  <si>
    <t xml:space="preserve">Year 2001</t>
  </si>
  <si>
    <t xml:space="preserve">Year 2002</t>
  </si>
  <si>
    <t xml:space="preserve">Year 2003</t>
  </si>
  <si>
    <t xml:space="preserve">  Development Costs</t>
  </si>
  <si>
    <t xml:space="preserve">Forward Curve ($/MWh)</t>
  </si>
  <si>
    <t xml:space="preserve">Historical Dispatch</t>
  </si>
  <si>
    <t xml:space="preserve">  Financial Advisor</t>
  </si>
  <si>
    <t xml:space="preserve">Peaker Days</t>
  </si>
  <si>
    <t xml:space="preserve">  Profit</t>
  </si>
  <si>
    <t xml:space="preserve">Peaker Hours</t>
  </si>
  <si>
    <t xml:space="preserve">Operating Expenses ($000)</t>
  </si>
  <si>
    <t xml:space="preserve">CPI Rate: </t>
  </si>
  <si>
    <t xml:space="preserve">  Commission &amp; Startup (Operator)</t>
  </si>
  <si>
    <t xml:space="preserve">SOCO premium over TVA ($ in 10 x 3)</t>
  </si>
  <si>
    <t xml:space="preserve">   TOTAL ENRON COSTS</t>
  </si>
  <si>
    <t xml:space="preserve">Decrease TVA Transmission Cost (in 000's)</t>
  </si>
  <si>
    <t xml:space="preserve">Fixed:</t>
  </si>
  <si>
    <t xml:space="preserve">  Vendor Reps</t>
  </si>
  <si>
    <t xml:space="preserve">Decrease Transmission Losses to TVA (in 000's)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</si>
  <si>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</si>
  <si>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</si>
  <si>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</si>
  <si>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</si>
  <si>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</si>
  <si>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</si>
  <si>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Cost Analysis</t>
  </si>
  <si>
    <t xml:space="preserve">Plant Insurance</t>
  </si>
  <si>
    <t xml:space="preserve">Spare Parts</t>
  </si>
  <si>
    <t xml:space="preserve">Month </t>
  </si>
  <si>
    <t xml:space="preserve">% of Total Cost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</si>
  <si>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</si>
  <si>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</si>
  <si>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</si>
  <si>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</si>
  <si>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</si>
  <si>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 ?</t>
  </si>
  <si>
    <t xml:space="preserve">Plant Operations (O&amp;M Fee)</t>
  </si>
  <si>
    <t xml:space="preserve">  Contingency -Distribution Service to New Sub?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</si>
  <si>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</si>
  <si>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</si>
  <si>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</si>
  <si>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</si>
  <si>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</si>
  <si>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</si>
  <si>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</si>
  <si>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   TOTAL PROJECT COSTS ($/kw)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</si>
  <si>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</si>
  <si>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</si>
  <si>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</si>
  <si>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</si>
  <si>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</si>
  <si>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</si>
  <si>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</si>
  <si>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</si>
  <si>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</si>
  <si>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</si>
  <si>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</si>
  <si>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</si>
  <si>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</si>
  <si>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</si>
  <si>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</si>
  <si>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</si>
  <si>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</si>
  <si>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</si>
  <si>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</si>
  <si>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</si>
  <si>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</si>
  <si>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</si>
  <si>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</si>
  <si>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</si>
  <si>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</si>
  <si>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</si>
  <si>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</si>
  <si>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</si>
  <si>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</si>
  <si>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</si>
  <si>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</si>
  <si>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</si>
  <si>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</si>
  <si>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</si>
  <si>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</si>
  <si>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</si>
  <si>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</si>
  <si>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</si>
  <si>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</si>
  <si>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</si>
  <si>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</si>
  <si>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</si>
  <si>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</si>
  <si>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</si>
  <si>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</si>
  <si>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</si>
  <si>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</si>
  <si>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</si>
  <si>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</si>
  <si>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</si>
  <si>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</si>
  <si>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</si>
  <si>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</si>
  <si>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</si>
  <si>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</si>
  <si>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</si>
  <si>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</si>
  <si>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</si>
  <si>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</si>
  <si>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</si>
  <si>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</si>
  <si>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</si>
  <si>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</si>
  <si>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</si>
  <si>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</si>
  <si>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</si>
  <si>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</si>
  <si>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</si>
  <si>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</si>
  <si>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</si>
  <si>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</si>
  <si>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</si>
  <si>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</si>
  <si>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</si>
  <si>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</si>
  <si>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</si>
  <si>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</si>
  <si>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</si>
  <si>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</si>
  <si>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</si>
  <si>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</si>
  <si>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</si>
  <si>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</si>
  <si>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</si>
  <si>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</si>
  <si>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</si>
  <si>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</si>
  <si>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</si>
  <si>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</si>
  <si>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</si>
  <si>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</si>
  <si>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</si>
  <si>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</si>
  <si>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</si>
  <si>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</si>
  <si>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</si>
  <si>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</si>
  <si>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</si>
  <si>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</si>
  <si>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</si>
  <si>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</si>
  <si>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</si>
  <si>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</si>
  <si>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</si>
  <si>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</si>
  <si>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</si>
  <si>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</si>
  <si>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</si>
  <si>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</si>
  <si>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</si>
  <si>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</si>
  <si>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</si>
  <si>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</si>
  <si>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</si>
  <si>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</si>
  <si>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</si>
  <si>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</si>
  <si>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</si>
  <si>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</si>
  <si>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</si>
  <si>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</si>
  <si>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</si>
  <si>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</si>
  <si>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</si>
  <si>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</si>
  <si>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</si>
  <si>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</si>
  <si>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</si>
  <si>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</si>
  <si>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</si>
  <si>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</si>
  <si>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</si>
  <si>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</si>
  <si>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</si>
  <si>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</si>
  <si>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</si>
  <si>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</si>
  <si>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</si>
  <si>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</si>
  <si>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</si>
  <si>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</si>
  <si>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</si>
  <si>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</si>
  <si>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</si>
  <si>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</si>
  <si>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</si>
  <si>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</si>
  <si>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</si>
  <si>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</si>
  <si>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</si>
  <si>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</si>
  <si>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</si>
  <si>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</si>
  <si>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</si>
  <si>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</si>
  <si>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</si>
  <si>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</si>
  <si>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</si>
  <si>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</si>
  <si>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</si>
  <si>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</si>
  <si>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</si>
  <si>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</si>
  <si>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</si>
  <si>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</si>
  <si>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</si>
  <si>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</si>
  <si>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</si>
  <si>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</si>
  <si>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</si>
  <si>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</si>
  <si>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</si>
  <si>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</si>
  <si>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</si>
  <si>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Land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</si>
  <si>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</si>
  <si>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</si>
  <si>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</si>
  <si>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</si>
  <si>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</si>
  <si>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</si>
  <si>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Other liabilities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</si>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</sst>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\$#,##0.0000_);[RED]&quot;($&quot;#,##0.0000\)"/>
    <numFmt numFmtId="176" formatCode="_(* #,##0.00_);_(* \(#,##0.00\);_(* \-??_);_(@_)"/>
    <numFmt numFmtId="177" formatCode="_(* #,##0.0000_);_(* \(#,##0.0000\);_(* \-??_);_(@_)"/>
    <numFmt numFmtId="178" formatCode="_(* #,##0_);_(* \(#,##0\);_(* \-??_);_(@_)"/>
    <numFmt numFmtId="179" formatCode="\$#,##0.00_);[RED]&quot;($&quot;#,##0.00\)"/>
    <numFmt numFmtId="180" formatCode="[$-409]mmm\-yy"/>
    <numFmt numFmtId="181" formatCode="0"/>
    <numFmt numFmtId="182" formatCode="0.00"/>
    <numFmt numFmtId="183" formatCode="0.0%"/>
    <numFmt numFmtId="184" formatCode="0.000%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9.28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11.13"/>
    <col collapsed="false" customWidth="true" hidden="false" outlineLevel="0" max="19" min="19" style="1" width="2.7"/>
    <col collapsed="false" customWidth="true" hidden="false" outlineLevel="0" max="20" min="20" style="1" width="37.85"/>
    <col collapsed="false" customWidth="true" hidden="false" outlineLevel="0" max="21" min="21" style="1" width="12.56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str">
        <f aca="false">IF(loopfactor=0," ","WARNING:  MODEL HAS NOT BEEN CONVERGED")</f>
        <v> </v>
      </c>
      <c r="H3" s="0"/>
      <c r="J3" s="5" t="e">
        <f aca="false">IF((#REF!+#REF!+#REF!+#REF!+#REF!+#REF!)=DEBT," ","WARNING:  THE SUM OF THE DEBT LISTED IN THE TRANCHES DOES NOT EQUAL TOTAL DEBT")</f>
        <v>#REF!</v>
      </c>
      <c r="L3" s="1" t="s">
        <v>1</v>
      </c>
      <c r="M3" s="6" t="s">
        <v>1</v>
      </c>
      <c r="P3" s="5" t="e">
        <f aca="false">IF(X21&gt;1,"WARNING:  NPV DOES NOT RECONCILE"," ")</f>
        <v>#REF!</v>
      </c>
    </row>
    <row r="4" customFormat="false" ht="15.75" hidden="false" customHeight="false" outlineLevel="0" collapsed="false">
      <c r="A4" s="7"/>
      <c r="B4" s="8"/>
      <c r="C4" s="9"/>
      <c r="D4" s="5" t="str">
        <f aca="false">IF(ABS(SUM(BS_IS!F35:J35))&lt;0.01," ","WARNING:  BALANCE SHEET IS NOT BALANCED")</f>
        <v>WARNING:  BALANCE SHEET IS NOT BALANCED</v>
      </c>
      <c r="H4" s="0"/>
      <c r="J4" s="5" t="str">
        <f aca="false">IF(ABS(RETURNS!H7+EQUITY)&lt;0.1,"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/>
      <c r="B5" s="11"/>
      <c r="C5" s="12"/>
      <c r="D5" s="5" t="e">
        <f aca="false">IF(#REF!&lt;#REF!,"WARNING:  A-TAX TARGET MINIMUM DCR HAS NOT BEEN MET"," ")</f>
        <v>#REF!</v>
      </c>
      <c r="H5" s="0"/>
      <c r="J5" s="5" t="e">
        <f aca="false">IF(#REF!&lt;#REF!,"WARNING:  A-TAX TARGET AVERAGE DCR HAS NOT BEEN MET"," ")</f>
        <v>#REF!</v>
      </c>
      <c r="M5" s="6"/>
    </row>
    <row r="6" customFormat="false" ht="13.5" hidden="false" customHeight="false" outlineLevel="0" collapsed="false">
      <c r="A6" s="1" t="s">
        <v>2</v>
      </c>
      <c r="AC6" s="1" t="s">
        <v>1</v>
      </c>
    </row>
    <row r="7" customFormat="false" ht="13.5" hidden="false" customHeight="false" outlineLevel="0" collapsed="false">
      <c r="A7" s="13" t="s">
        <v>3</v>
      </c>
      <c r="B7" s="14"/>
      <c r="C7" s="15"/>
      <c r="D7" s="16" t="n">
        <f aca="false">2000</f>
        <v>2000</v>
      </c>
      <c r="E7" s="17"/>
      <c r="G7" s="13" t="s">
        <v>4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5</v>
      </c>
      <c r="S7" s="1" t="s">
        <v>1</v>
      </c>
      <c r="T7" s="13" t="s">
        <v>6</v>
      </c>
      <c r="U7" s="15"/>
      <c r="V7" s="20" t="s">
        <v>7</v>
      </c>
      <c r="W7" s="20" t="s">
        <v>8</v>
      </c>
      <c r="X7" s="21" t="s">
        <v>9</v>
      </c>
      <c r="AC7" s="22"/>
      <c r="AD7" s="22"/>
      <c r="AE7" s="23"/>
      <c r="AF7" s="23"/>
      <c r="AG7" s="23"/>
    </row>
    <row r="8" customFormat="false" ht="12.75" hidden="false" customHeight="false" outlineLevel="0" collapsed="false">
      <c r="A8" s="24" t="s">
        <v>10</v>
      </c>
      <c r="B8" s="25"/>
      <c r="C8" s="25"/>
      <c r="D8" s="26" t="n">
        <v>500</v>
      </c>
      <c r="E8" s="27" t="s">
        <v>11</v>
      </c>
      <c r="G8" s="24" t="s">
        <v>12</v>
      </c>
      <c r="H8" s="25"/>
      <c r="I8" s="26"/>
      <c r="J8" s="28" t="s">
        <v>13</v>
      </c>
      <c r="K8" s="29"/>
      <c r="M8" s="30" t="s">
        <v>14</v>
      </c>
      <c r="N8" s="25"/>
      <c r="O8" s="31"/>
      <c r="P8" s="25"/>
      <c r="Q8" s="25"/>
      <c r="R8" s="32" t="n">
        <f aca="false">$E$15</f>
        <v>2000</v>
      </c>
      <c r="T8" s="24"/>
      <c r="U8" s="25"/>
      <c r="V8" s="25"/>
      <c r="W8" s="25"/>
      <c r="X8" s="29"/>
      <c r="AC8" s="25"/>
      <c r="AD8" s="25"/>
      <c r="AE8" s="33"/>
      <c r="AF8" s="33"/>
      <c r="AG8" s="34"/>
    </row>
    <row r="9" customFormat="false" ht="12.75" hidden="false" customHeight="false" outlineLevel="0" collapsed="false">
      <c r="A9" s="24" t="s">
        <v>15</v>
      </c>
      <c r="B9" s="25"/>
      <c r="C9" s="25"/>
      <c r="D9" s="35" t="n">
        <v>1</v>
      </c>
      <c r="E9" s="29"/>
      <c r="G9" s="24" t="s">
        <v>16</v>
      </c>
      <c r="H9" s="25"/>
      <c r="I9" s="36" t="n">
        <v>0.05</v>
      </c>
      <c r="J9" s="25"/>
      <c r="K9" s="29"/>
      <c r="M9" s="24" t="s">
        <v>17</v>
      </c>
      <c r="N9" s="25"/>
      <c r="O9" s="37"/>
      <c r="P9" s="38"/>
      <c r="Q9" s="25"/>
      <c r="R9" s="39" t="n">
        <v>3300</v>
      </c>
      <c r="T9" s="30" t="s">
        <v>18</v>
      </c>
      <c r="U9" s="25"/>
      <c r="V9" s="40" t="n">
        <v>0.1</v>
      </c>
      <c r="W9" s="41" t="n">
        <f aca="false">RETURNS!D15</f>
        <v>0.442390306573645</v>
      </c>
      <c r="X9" s="42" t="n">
        <f aca="false">RETURNS!D14</f>
        <v>7863.02134815928</v>
      </c>
      <c r="Z9" s="23"/>
      <c r="AA9" s="23"/>
      <c r="AC9" s="25"/>
      <c r="AD9" s="25"/>
      <c r="AE9" s="33"/>
      <c r="AF9" s="33"/>
      <c r="AG9" s="34"/>
    </row>
    <row r="10" customFormat="false" ht="13.5" hidden="false" customHeight="false" outlineLevel="0" collapsed="false">
      <c r="A10" s="24" t="s">
        <v>19</v>
      </c>
      <c r="B10" s="25"/>
      <c r="C10" s="43" t="s">
        <v>20</v>
      </c>
      <c r="D10" s="44" t="n">
        <v>12500</v>
      </c>
      <c r="E10" s="45" t="s">
        <v>21</v>
      </c>
      <c r="G10" s="46" t="s">
        <v>22</v>
      </c>
      <c r="H10" s="47"/>
      <c r="I10" s="48" t="n">
        <v>0</v>
      </c>
      <c r="J10" s="47"/>
      <c r="K10" s="49"/>
      <c r="M10" s="24" t="s">
        <v>23</v>
      </c>
      <c r="N10" s="25"/>
      <c r="O10" s="50"/>
      <c r="P10" s="38"/>
      <c r="Q10" s="25"/>
      <c r="R10" s="51" t="n">
        <v>0</v>
      </c>
      <c r="T10" s="52" t="s">
        <v>24</v>
      </c>
      <c r="U10" s="25"/>
      <c r="V10" s="25"/>
      <c r="W10" s="53" t="n">
        <v>0.1</v>
      </c>
      <c r="Z10" s="23"/>
      <c r="AA10" s="23"/>
      <c r="AC10" s="25"/>
      <c r="AD10" s="25"/>
      <c r="AE10" s="33"/>
      <c r="AF10" s="33"/>
      <c r="AG10" s="34"/>
    </row>
    <row r="11" customFormat="false" ht="13.5" hidden="false" customHeight="false" outlineLevel="0" collapsed="false">
      <c r="A11" s="24" t="s">
        <v>25</v>
      </c>
      <c r="B11" s="54"/>
      <c r="C11" s="54"/>
      <c r="D11" s="55" t="n">
        <v>1</v>
      </c>
      <c r="E11" s="29"/>
      <c r="M11" s="24" t="s">
        <v>26</v>
      </c>
      <c r="N11" s="25"/>
      <c r="O11" s="50"/>
      <c r="P11" s="38"/>
      <c r="Q11" s="25"/>
      <c r="R11" s="51" t="n">
        <v>0</v>
      </c>
      <c r="T11" s="24"/>
      <c r="U11" s="25"/>
      <c r="V11" s="25"/>
      <c r="W11" s="25"/>
      <c r="X11" s="29"/>
      <c r="AC11" s="25"/>
      <c r="AD11" s="25"/>
      <c r="AE11" s="33"/>
      <c r="AF11" s="33"/>
      <c r="AG11" s="34"/>
    </row>
    <row r="12" customFormat="false" ht="13.5" hidden="false" customHeight="false" outlineLevel="0" collapsed="false">
      <c r="A12" s="46" t="s">
        <v>27</v>
      </c>
      <c r="B12" s="47"/>
      <c r="C12" s="47"/>
      <c r="D12" s="56" t="n">
        <v>0.03</v>
      </c>
      <c r="E12" s="49"/>
      <c r="G12" s="13" t="s">
        <v>28</v>
      </c>
      <c r="H12" s="15"/>
      <c r="I12" s="15"/>
      <c r="J12" s="15"/>
      <c r="K12" s="17"/>
      <c r="M12" s="57" t="s">
        <v>29</v>
      </c>
      <c r="N12" s="58"/>
      <c r="O12" s="58"/>
      <c r="P12" s="58"/>
      <c r="Q12" s="58"/>
      <c r="R12" s="59" t="n">
        <f aca="false">SUM(R9:R11)</f>
        <v>3300</v>
      </c>
      <c r="T12" s="24" t="s">
        <v>30</v>
      </c>
      <c r="U12" s="25"/>
      <c r="V12" s="60" t="n">
        <f aca="false">DISC</f>
        <v>0.1</v>
      </c>
      <c r="W12" s="60" t="n">
        <f aca="false">RETURNS!D28</f>
        <v>0.442390306573645</v>
      </c>
      <c r="X12" s="61" t="n">
        <f aca="false">RETURNS!D27</f>
        <v>7863.02134815928</v>
      </c>
      <c r="AC12" s="25"/>
      <c r="AD12" s="25"/>
      <c r="AE12" s="33"/>
      <c r="AF12" s="33"/>
      <c r="AG12" s="34"/>
    </row>
    <row r="13" customFormat="false" ht="13.5" hidden="false" customHeight="false" outlineLevel="0" collapsed="false">
      <c r="G13" s="24" t="s">
        <v>31</v>
      </c>
      <c r="H13" s="25"/>
      <c r="I13" s="26"/>
      <c r="J13" s="62"/>
      <c r="K13" s="29"/>
      <c r="M13" s="24" t="s">
        <v>32</v>
      </c>
      <c r="N13" s="25"/>
      <c r="O13" s="37"/>
      <c r="P13" s="25"/>
      <c r="Q13" s="25"/>
      <c r="R13" s="63" t="n">
        <f aca="false">O13*(1+CPI)^($R$8-$O$8)</f>
        <v>0</v>
      </c>
      <c r="T13" s="24" t="s">
        <v>33</v>
      </c>
      <c r="U13" s="25"/>
      <c r="V13" s="60"/>
      <c r="W13" s="60"/>
      <c r="X13" s="61" t="n">
        <f aca="false">SUM(X12)</f>
        <v>7863.02134815928</v>
      </c>
      <c r="AC13" s="25"/>
      <c r="AD13" s="25"/>
      <c r="AE13" s="33"/>
      <c r="AF13" s="33"/>
      <c r="AG13" s="34"/>
    </row>
    <row r="14" customFormat="false" ht="12.75" hidden="false" customHeight="false" outlineLevel="0" collapsed="false">
      <c r="A14" s="13" t="s">
        <v>34</v>
      </c>
      <c r="B14" s="15"/>
      <c r="C14" s="15"/>
      <c r="D14" s="15"/>
      <c r="E14" s="17"/>
      <c r="G14" s="24" t="s">
        <v>35</v>
      </c>
      <c r="H14" s="25"/>
      <c r="I14" s="36" t="n">
        <v>0.05</v>
      </c>
      <c r="J14" s="62"/>
      <c r="K14" s="29"/>
      <c r="M14" s="57" t="s">
        <v>36</v>
      </c>
      <c r="N14" s="58"/>
      <c r="O14" s="58"/>
      <c r="P14" s="58"/>
      <c r="Q14" s="58"/>
      <c r="R14" s="59" t="n">
        <f aca="false">SUM(R13)</f>
        <v>0</v>
      </c>
      <c r="T14" s="24"/>
      <c r="U14" s="25"/>
      <c r="V14" s="60"/>
      <c r="W14" s="60"/>
      <c r="X14" s="61"/>
      <c r="AC14" s="25"/>
      <c r="AD14" s="25"/>
      <c r="AE14" s="33"/>
      <c r="AF14" s="33"/>
      <c r="AG14" s="64"/>
    </row>
    <row r="15" customFormat="false" ht="13.5" hidden="false" customHeight="false" outlineLevel="0" collapsed="false">
      <c r="A15" s="24" t="s">
        <v>37</v>
      </c>
      <c r="B15" s="25"/>
      <c r="C15" s="25"/>
      <c r="D15" s="65" t="e">
        <f aca="false">DATE(E15-1900,12,1)</f>
        <v>#VALUE!</v>
      </c>
      <c r="E15" s="66" t="n">
        <v>2000</v>
      </c>
      <c r="G15" s="46" t="s">
        <v>38</v>
      </c>
      <c r="H15" s="47"/>
      <c r="I15" s="48" t="n">
        <v>0.35</v>
      </c>
      <c r="J15" s="47"/>
      <c r="K15" s="49"/>
      <c r="M15" s="24" t="s">
        <v>39</v>
      </c>
      <c r="N15" s="25"/>
      <c r="O15" s="37"/>
      <c r="P15" s="25"/>
      <c r="Q15" s="25"/>
      <c r="R15" s="39" t="n">
        <f aca="false">O15*(1+CPI)^($R$8-$O$8)</f>
        <v>0</v>
      </c>
      <c r="T15" s="24" t="s">
        <v>40</v>
      </c>
      <c r="U15" s="25"/>
      <c r="V15" s="60"/>
      <c r="W15" s="60"/>
      <c r="X15" s="61" t="e">
        <f aca="false">-#REF!-RETURNS!P35-RETURNS!P47</f>
        <v>#REF!</v>
      </c>
      <c r="AC15" s="25"/>
      <c r="AD15" s="25"/>
      <c r="AE15" s="33"/>
      <c r="AF15" s="33"/>
      <c r="AG15" s="64"/>
    </row>
    <row r="16" customFormat="false" ht="13.5" hidden="false" customHeight="false" outlineLevel="0" collapsed="false">
      <c r="A16" s="24" t="s">
        <v>41</v>
      </c>
      <c r="B16" s="25"/>
      <c r="C16" s="25"/>
      <c r="D16" s="25"/>
      <c r="E16" s="66" t="n">
        <v>6</v>
      </c>
      <c r="M16" s="24" t="s">
        <v>42</v>
      </c>
      <c r="N16" s="25"/>
      <c r="O16" s="50"/>
      <c r="P16" s="25"/>
      <c r="Q16" s="25"/>
      <c r="R16" s="51" t="n">
        <v>8800</v>
      </c>
      <c r="T16" s="24" t="s">
        <v>43</v>
      </c>
      <c r="U16" s="25"/>
      <c r="V16" s="60"/>
      <c r="W16" s="60"/>
      <c r="X16" s="61" t="e">
        <f aca="false">-#REF!</f>
        <v>#REF!</v>
      </c>
      <c r="AC16" s="25"/>
      <c r="AD16" s="25"/>
      <c r="AE16" s="33"/>
      <c r="AF16" s="33"/>
      <c r="AG16" s="64"/>
    </row>
    <row r="17" customFormat="false" ht="12.75" hidden="false" customHeight="false" outlineLevel="0" collapsed="false">
      <c r="A17" s="24" t="s">
        <v>44</v>
      </c>
      <c r="B17" s="25"/>
      <c r="C17" s="25"/>
      <c r="D17" s="26" t="n">
        <v>6</v>
      </c>
      <c r="E17" s="66" t="n">
        <v>2001</v>
      </c>
      <c r="G17" s="13" t="s">
        <v>45</v>
      </c>
      <c r="H17" s="15"/>
      <c r="I17" s="20" t="s">
        <v>46</v>
      </c>
      <c r="J17" s="20" t="s">
        <v>47</v>
      </c>
      <c r="K17" s="21" t="s">
        <v>48</v>
      </c>
      <c r="M17" s="24" t="s">
        <v>49</v>
      </c>
      <c r="N17" s="25"/>
      <c r="O17" s="37"/>
      <c r="P17" s="25"/>
      <c r="Q17" s="25"/>
      <c r="R17" s="63" t="n">
        <f aca="false">O17*(1+CPI)^($R$8-$O$8)</f>
        <v>0</v>
      </c>
      <c r="T17" s="24" t="s">
        <v>50</v>
      </c>
      <c r="U17" s="25"/>
      <c r="V17" s="60"/>
      <c r="W17" s="60"/>
      <c r="X17" s="67" t="e">
        <f aca="false">-#REF!</f>
        <v>#REF!</v>
      </c>
      <c r="AC17" s="25"/>
      <c r="AD17" s="25"/>
      <c r="AE17" s="33"/>
      <c r="AF17" s="33"/>
      <c r="AG17" s="64"/>
    </row>
    <row r="18" customFormat="false" ht="12.75" hidden="false" customHeight="false" outlineLevel="0" collapsed="false">
      <c r="A18" s="24" t="s">
        <v>51</v>
      </c>
      <c r="B18" s="25"/>
      <c r="C18" s="25"/>
      <c r="D18" s="25"/>
      <c r="E18" s="68" t="s">
        <v>52</v>
      </c>
      <c r="G18" s="24"/>
      <c r="H18" s="25"/>
      <c r="I18" s="25"/>
      <c r="J18" s="25"/>
      <c r="K18" s="29"/>
      <c r="M18" s="57" t="s">
        <v>53</v>
      </c>
      <c r="N18" s="58"/>
      <c r="O18" s="58"/>
      <c r="P18" s="58"/>
      <c r="Q18" s="58"/>
      <c r="R18" s="59" t="n">
        <f aca="false">SUM(R15:R17)</f>
        <v>8800</v>
      </c>
      <c r="T18" s="24" t="s">
        <v>54</v>
      </c>
      <c r="U18" s="25"/>
      <c r="V18" s="60"/>
      <c r="W18" s="60"/>
      <c r="X18" s="61" t="e">
        <f aca="false">SUM(X15:X17)</f>
        <v>#REF!</v>
      </c>
      <c r="AC18" s="25"/>
      <c r="AD18" s="25"/>
      <c r="AE18" s="33"/>
      <c r="AF18" s="33"/>
      <c r="AG18" s="64"/>
    </row>
    <row r="19" customFormat="false" ht="13.5" hidden="false" customHeight="false" outlineLevel="0" collapsed="false">
      <c r="A19" s="46" t="s">
        <v>55</v>
      </c>
      <c r="B19" s="47"/>
      <c r="C19" s="47"/>
      <c r="D19" s="47"/>
      <c r="E19" s="69" t="s">
        <v>52</v>
      </c>
      <c r="G19" s="24" t="s">
        <v>56</v>
      </c>
      <c r="H19" s="25" t="s">
        <v>57</v>
      </c>
      <c r="I19" s="44" t="n">
        <v>13000</v>
      </c>
      <c r="J19" s="26" t="n">
        <v>20</v>
      </c>
      <c r="K19" s="70" t="s">
        <v>58</v>
      </c>
      <c r="M19" s="24" t="s">
        <v>59</v>
      </c>
      <c r="N19" s="25"/>
      <c r="O19" s="37"/>
      <c r="P19" s="38"/>
      <c r="Q19" s="25"/>
      <c r="R19" s="39" t="n">
        <f aca="false">O19*(1+CPI)^($R$8-$O$8)</f>
        <v>0</v>
      </c>
      <c r="T19" s="24"/>
      <c r="U19" s="25"/>
      <c r="V19" s="60"/>
      <c r="W19" s="60"/>
      <c r="X19" s="61"/>
      <c r="AC19" s="25"/>
      <c r="AD19" s="25"/>
      <c r="AE19" s="33"/>
      <c r="AF19" s="33"/>
      <c r="AG19" s="64"/>
    </row>
    <row r="20" customFormat="false" ht="13.5" hidden="false" customHeight="false" outlineLevel="0" collapsed="false">
      <c r="B20" s="71" t="n">
        <f aca="false">W12</f>
        <v>0.442390306573645</v>
      </c>
      <c r="C20" s="72" t="n">
        <f aca="false">E20+0.01</f>
        <v>32.38</v>
      </c>
      <c r="D20" s="72" t="n">
        <f aca="false">E20-0.01</f>
        <v>32.36</v>
      </c>
      <c r="E20" s="73" t="n">
        <v>32.37</v>
      </c>
      <c r="G20" s="74"/>
      <c r="H20" s="50"/>
      <c r="I20" s="50"/>
      <c r="J20" s="50"/>
      <c r="K20" s="75"/>
      <c r="M20" s="24" t="s">
        <v>60</v>
      </c>
      <c r="N20" s="25"/>
      <c r="O20" s="58"/>
      <c r="P20" s="38"/>
      <c r="Q20" s="25"/>
      <c r="R20" s="51" t="n">
        <v>0</v>
      </c>
      <c r="T20" s="24" t="s">
        <v>61</v>
      </c>
      <c r="U20" s="25"/>
      <c r="V20" s="60"/>
      <c r="W20" s="60"/>
      <c r="X20" s="61" t="e">
        <f aca="false">X13+X18</f>
        <v>#REF!</v>
      </c>
    </row>
    <row r="21" customFormat="false" ht="13.5" hidden="false" customHeight="false" outlineLevel="0" collapsed="false">
      <c r="A21" s="13" t="s">
        <v>62</v>
      </c>
      <c r="B21" s="15"/>
      <c r="C21" s="20" t="n">
        <v>2000</v>
      </c>
      <c r="D21" s="15"/>
      <c r="E21" s="21" t="s">
        <v>63</v>
      </c>
      <c r="G21" s="74" t="s">
        <v>64</v>
      </c>
      <c r="H21" s="25" t="s">
        <v>57</v>
      </c>
      <c r="I21" s="44" t="n">
        <v>13000</v>
      </c>
      <c r="J21" s="26" t="n">
        <v>28.5</v>
      </c>
      <c r="K21" s="75" t="s">
        <v>65</v>
      </c>
      <c r="M21" s="24" t="s">
        <v>66</v>
      </c>
      <c r="N21" s="25"/>
      <c r="O21" s="37"/>
      <c r="P21" s="25"/>
      <c r="Q21" s="25"/>
      <c r="R21" s="63" t="n">
        <f aca="false">O21*(1+CPI)^($R$8-$O$8)</f>
        <v>0</v>
      </c>
      <c r="T21" s="46" t="s">
        <v>67</v>
      </c>
      <c r="U21" s="47"/>
      <c r="V21" s="76"/>
      <c r="W21" s="76"/>
      <c r="X21" s="77" t="e">
        <f aca="false">X20-X9</f>
        <v>#REF!</v>
      </c>
    </row>
    <row r="22" customFormat="false" ht="12.75" hidden="false" customHeight="false" outlineLevel="0" collapsed="false">
      <c r="A22" s="24" t="s">
        <v>68</v>
      </c>
      <c r="B22" s="25"/>
      <c r="C22" s="78" t="s">
        <v>69</v>
      </c>
      <c r="D22" s="25"/>
      <c r="E22" s="29"/>
      <c r="G22" s="74"/>
      <c r="H22" s="50"/>
      <c r="I22" s="79"/>
      <c r="J22" s="79"/>
      <c r="K22" s="75"/>
      <c r="M22" s="57" t="s">
        <v>70</v>
      </c>
      <c r="N22" s="58"/>
      <c r="O22" s="58"/>
      <c r="P22" s="58"/>
      <c r="Q22" s="58"/>
      <c r="R22" s="59" t="n">
        <f aca="false">SUM(R19:R21)</f>
        <v>0</v>
      </c>
      <c r="AB22" s="80"/>
      <c r="AC22" s="80"/>
      <c r="AD22" s="25"/>
      <c r="AE22" s="25"/>
      <c r="AF22" s="25"/>
      <c r="AI22" s="81"/>
      <c r="AJ22" s="82"/>
    </row>
    <row r="23" customFormat="false" ht="13.5" hidden="false" customHeight="false" outlineLevel="0" collapsed="false">
      <c r="A23" s="24" t="s">
        <v>71</v>
      </c>
      <c r="B23" s="25"/>
      <c r="C23" s="78" t="s">
        <v>69</v>
      </c>
      <c r="D23" s="25"/>
      <c r="E23" s="29"/>
      <c r="G23" s="83" t="s">
        <v>72</v>
      </c>
      <c r="H23" s="47" t="s">
        <v>57</v>
      </c>
      <c r="I23" s="84" t="n">
        <v>13000</v>
      </c>
      <c r="J23" s="85" t="n">
        <v>28.5</v>
      </c>
      <c r="K23" s="86" t="s">
        <v>65</v>
      </c>
      <c r="M23" s="24" t="s">
        <v>73</v>
      </c>
      <c r="N23" s="25"/>
      <c r="O23" s="25"/>
      <c r="P23" s="25"/>
      <c r="Q23" s="25"/>
      <c r="R23" s="87" t="n">
        <v>0</v>
      </c>
      <c r="AB23" s="41"/>
      <c r="AC23" s="88"/>
      <c r="AD23" s="89"/>
      <c r="AE23" s="62"/>
      <c r="AF23" s="25"/>
      <c r="AI23" s="90"/>
      <c r="AJ23" s="82"/>
    </row>
    <row r="24" customFormat="false" ht="13.5" hidden="false" customHeight="false" outlineLevel="0" collapsed="false">
      <c r="A24" s="24" t="s">
        <v>74</v>
      </c>
      <c r="B24" s="25"/>
      <c r="C24" s="78" t="s">
        <v>69</v>
      </c>
      <c r="D24" s="25"/>
      <c r="E24" s="29"/>
      <c r="M24" s="24" t="s">
        <v>75</v>
      </c>
      <c r="N24" s="25"/>
      <c r="O24" s="25"/>
      <c r="P24" s="25"/>
      <c r="Q24" s="25"/>
      <c r="R24" s="39" t="n">
        <f aca="false">AE9</f>
        <v>0</v>
      </c>
      <c r="T24" s="13" t="s">
        <v>76</v>
      </c>
      <c r="U24" s="91"/>
      <c r="V24" s="91"/>
      <c r="W24" s="91"/>
      <c r="X24" s="17"/>
      <c r="Y24" s="71"/>
      <c r="AB24" s="41"/>
      <c r="AC24" s="88"/>
      <c r="AD24" s="89"/>
      <c r="AE24" s="62"/>
      <c r="AF24" s="25"/>
    </row>
    <row r="25" customFormat="false" ht="12.75" hidden="false" customHeight="false" outlineLevel="0" collapsed="false">
      <c r="A25" s="92" t="s">
        <v>77</v>
      </c>
      <c r="B25" s="25"/>
      <c r="C25" s="62"/>
      <c r="D25" s="25"/>
      <c r="E25" s="29"/>
      <c r="G25" s="13" t="s">
        <v>78</v>
      </c>
      <c r="H25" s="15"/>
      <c r="I25" s="93" t="s">
        <v>79</v>
      </c>
      <c r="J25" s="93" t="s">
        <v>80</v>
      </c>
      <c r="K25" s="94" t="s">
        <v>81</v>
      </c>
      <c r="M25" s="24" t="s">
        <v>82</v>
      </c>
      <c r="N25" s="25"/>
      <c r="O25" s="62"/>
      <c r="P25" s="62"/>
      <c r="Q25" s="25"/>
      <c r="R25" s="87" t="n">
        <v>0</v>
      </c>
      <c r="T25" s="74" t="s">
        <v>83</v>
      </c>
      <c r="U25" s="95" t="s">
        <v>84</v>
      </c>
      <c r="V25" s="96"/>
      <c r="W25" s="97"/>
      <c r="X25" s="97"/>
      <c r="AB25" s="41"/>
      <c r="AC25" s="88"/>
      <c r="AD25" s="89"/>
      <c r="AE25" s="62"/>
      <c r="AF25" s="25"/>
    </row>
    <row r="26" customFormat="false" ht="12.75" hidden="false" customHeight="false" outlineLevel="0" collapsed="false">
      <c r="A26" s="24" t="s">
        <v>85</v>
      </c>
      <c r="B26" s="25"/>
      <c r="C26" s="98" t="n">
        <v>0.0084</v>
      </c>
      <c r="D26" s="99" t="s">
        <v>86</v>
      </c>
      <c r="E26" s="100" t="n">
        <v>0.02</v>
      </c>
      <c r="G26" s="24" t="s">
        <v>87</v>
      </c>
      <c r="H26" s="25"/>
      <c r="I26" s="36" t="n">
        <v>1</v>
      </c>
      <c r="J26" s="36" t="n">
        <v>1</v>
      </c>
      <c r="K26" s="61" t="n">
        <f aca="false">I26*EQUITY</f>
        <v>13000</v>
      </c>
      <c r="M26" s="24" t="s">
        <v>88</v>
      </c>
      <c r="N26" s="25"/>
      <c r="O26" s="25"/>
      <c r="P26" s="25"/>
      <c r="Q26" s="25"/>
      <c r="R26" s="51" t="n">
        <v>0</v>
      </c>
      <c r="T26" s="24"/>
      <c r="U26" s="82"/>
      <c r="V26" s="82"/>
      <c r="W26" s="82"/>
      <c r="X26" s="29"/>
      <c r="AB26" s="41"/>
      <c r="AC26" s="88"/>
      <c r="AD26" s="89"/>
      <c r="AE26" s="62"/>
      <c r="AF26" s="25"/>
    </row>
    <row r="27" customFormat="false" ht="13.5" hidden="false" customHeight="false" outlineLevel="0" collapsed="false">
      <c r="A27" s="101" t="s">
        <v>89</v>
      </c>
      <c r="B27" s="25"/>
      <c r="C27" s="25"/>
      <c r="D27" s="25"/>
      <c r="E27" s="29"/>
      <c r="G27" s="46" t="s">
        <v>90</v>
      </c>
      <c r="H27" s="47"/>
      <c r="I27" s="76" t="n">
        <f aca="false">SUM(I26)</f>
        <v>1</v>
      </c>
      <c r="J27" s="76" t="n">
        <f aca="false">SUM(J26)</f>
        <v>1</v>
      </c>
      <c r="K27" s="77" t="n">
        <f aca="false">SUM(K26)</f>
        <v>13000</v>
      </c>
      <c r="M27" s="24" t="s">
        <v>91</v>
      </c>
      <c r="N27" s="25"/>
      <c r="O27" s="25"/>
      <c r="P27" s="25"/>
      <c r="Q27" s="25"/>
      <c r="R27" s="51" t="n">
        <v>0</v>
      </c>
      <c r="T27" s="24" t="s">
        <v>92</v>
      </c>
      <c r="U27" s="82"/>
      <c r="V27" s="102" t="n">
        <f aca="false">1-equityperc</f>
        <v>0</v>
      </c>
      <c r="W27" s="82"/>
      <c r="X27" s="39" t="n">
        <f aca="false">COST*DEBTPERC</f>
        <v>0</v>
      </c>
      <c r="AB27" s="41"/>
      <c r="AC27" s="88"/>
      <c r="AD27" s="62"/>
      <c r="AE27" s="62"/>
      <c r="AF27" s="25"/>
    </row>
    <row r="28" customFormat="false" ht="12.75" hidden="false" customHeight="false" outlineLevel="0" collapsed="false">
      <c r="A28" s="92" t="s">
        <v>93</v>
      </c>
      <c r="B28" s="25"/>
      <c r="C28" s="25"/>
      <c r="D28" s="25"/>
      <c r="E28" s="29"/>
      <c r="K28" s="5" t="str">
        <f aca="false">IF(ABS(K27-EQUITY)&gt;0.01,"CHECK"," ")</f>
        <v> </v>
      </c>
      <c r="M28" s="24" t="s">
        <v>94</v>
      </c>
      <c r="N28" s="25"/>
      <c r="O28" s="25"/>
      <c r="P28" s="25"/>
      <c r="Q28" s="25"/>
      <c r="R28" s="51" t="n">
        <v>0</v>
      </c>
      <c r="T28" s="24" t="s">
        <v>95</v>
      </c>
      <c r="U28" s="82"/>
      <c r="V28" s="103" t="n">
        <v>1</v>
      </c>
      <c r="W28" s="82"/>
      <c r="X28" s="63" t="n">
        <f aca="false">COST*equityperc</f>
        <v>13000</v>
      </c>
      <c r="AB28" s="25"/>
      <c r="AC28" s="62"/>
      <c r="AD28" s="62"/>
      <c r="AE28" s="62"/>
      <c r="AF28" s="25"/>
    </row>
    <row r="29" customFormat="false" ht="12.75" hidden="false" customHeight="false" outlineLevel="0" collapsed="false">
      <c r="A29" s="24" t="s">
        <v>96</v>
      </c>
      <c r="B29" s="25"/>
      <c r="C29" s="104" t="n">
        <f aca="false">SUM(C56:C60)/(8760*avail*dispatch*capacity)</f>
        <v>0</v>
      </c>
      <c r="D29" s="25" t="s">
        <v>97</v>
      </c>
      <c r="E29" s="100" t="n">
        <v>0.02</v>
      </c>
      <c r="M29" s="24" t="s">
        <v>98</v>
      </c>
      <c r="N29" s="25"/>
      <c r="O29" s="25"/>
      <c r="P29" s="25"/>
      <c r="Q29" s="25"/>
      <c r="R29" s="51" t="n">
        <v>0</v>
      </c>
      <c r="T29" s="24" t="s">
        <v>99</v>
      </c>
      <c r="U29" s="82"/>
      <c r="V29" s="105" t="n">
        <f aca="false">DEBTPERC+equityperc</f>
        <v>1</v>
      </c>
      <c r="W29" s="82"/>
      <c r="X29" s="106" t="n">
        <f aca="false">SUM(X27:X28)</f>
        <v>13000</v>
      </c>
      <c r="AC29" s="0"/>
      <c r="AD29" s="0"/>
      <c r="AE29" s="0"/>
    </row>
    <row r="30" customFormat="false" ht="12.75" hidden="false" customHeight="false" outlineLevel="0" collapsed="false">
      <c r="A30" s="24" t="s">
        <v>100</v>
      </c>
      <c r="B30" s="25"/>
      <c r="C30" s="104" t="n">
        <v>0</v>
      </c>
      <c r="D30" s="25" t="s">
        <v>97</v>
      </c>
      <c r="E30" s="100" t="n">
        <v>0.02</v>
      </c>
      <c r="M30" s="24" t="s">
        <v>101</v>
      </c>
      <c r="N30" s="25"/>
      <c r="O30" s="25"/>
      <c r="P30" s="25"/>
      <c r="Q30" s="25"/>
      <c r="R30" s="51" t="n">
        <v>0</v>
      </c>
      <c r="T30" s="24"/>
      <c r="U30" s="82"/>
      <c r="V30" s="105"/>
      <c r="W30" s="82"/>
      <c r="X30" s="106"/>
      <c r="Y30" s="71"/>
      <c r="AC30" s="0"/>
      <c r="AD30" s="0"/>
      <c r="AE30" s="0"/>
    </row>
    <row r="31" customFormat="false" ht="13.5" hidden="false" customHeight="false" outlineLevel="0" collapsed="false">
      <c r="A31" s="46" t="s">
        <v>102</v>
      </c>
      <c r="B31" s="47"/>
      <c r="C31" s="107" t="n">
        <v>0</v>
      </c>
      <c r="D31" s="47" t="s">
        <v>97</v>
      </c>
      <c r="E31" s="108" t="n">
        <v>0.02</v>
      </c>
      <c r="M31" s="24" t="s">
        <v>103</v>
      </c>
      <c r="N31" s="25"/>
      <c r="O31" s="25" t="s">
        <v>1</v>
      </c>
      <c r="P31" s="33"/>
      <c r="Q31" s="25"/>
      <c r="R31" s="51" t="n">
        <v>0</v>
      </c>
      <c r="T31" s="24" t="s">
        <v>104</v>
      </c>
      <c r="U31" s="82"/>
      <c r="V31" s="105" t="n">
        <v>0</v>
      </c>
      <c r="W31" s="82"/>
      <c r="X31" s="106"/>
      <c r="AE31" s="71"/>
    </row>
    <row r="32" customFormat="false" ht="13.5" hidden="false" customHeight="false" outlineLevel="0" collapsed="false">
      <c r="A32" s="109" t="s">
        <v>105</v>
      </c>
      <c r="B32" s="110"/>
      <c r="C32" s="111"/>
      <c r="D32" s="112" t="s">
        <v>106</v>
      </c>
      <c r="E32" s="113"/>
      <c r="M32" s="24" t="s">
        <v>107</v>
      </c>
      <c r="N32" s="25"/>
      <c r="O32" s="25" t="s">
        <v>1</v>
      </c>
      <c r="P32" s="25"/>
      <c r="Q32" s="25"/>
      <c r="R32" s="51" t="n">
        <v>0</v>
      </c>
      <c r="T32" s="46" t="s">
        <v>108</v>
      </c>
      <c r="U32" s="114"/>
      <c r="V32" s="115" t="n">
        <v>0</v>
      </c>
      <c r="W32" s="114"/>
      <c r="X32" s="116"/>
    </row>
    <row r="33" customFormat="false" ht="13.5" hidden="false" customHeight="false" outlineLevel="0" collapsed="false">
      <c r="M33" s="24" t="s">
        <v>109</v>
      </c>
      <c r="N33" s="25"/>
      <c r="O33" s="117" t="s">
        <v>1</v>
      </c>
      <c r="P33" s="117"/>
      <c r="Q33" s="25"/>
      <c r="R33" s="118" t="n">
        <v>0</v>
      </c>
      <c r="U33" s="119"/>
      <c r="V33" s="119"/>
      <c r="W33" s="119"/>
    </row>
    <row r="34" customFormat="false" ht="12.75" hidden="false" customHeight="false" outlineLevel="0" collapsed="false">
      <c r="A34" s="13" t="s">
        <v>110</v>
      </c>
      <c r="B34" s="120"/>
      <c r="C34" s="120"/>
      <c r="D34" s="16" t="n">
        <f aca="false">D7</f>
        <v>2000</v>
      </c>
      <c r="E34" s="121"/>
      <c r="M34" s="57" t="s">
        <v>111</v>
      </c>
      <c r="N34" s="58"/>
      <c r="O34" s="58"/>
      <c r="P34" s="58"/>
      <c r="Q34" s="58"/>
      <c r="R34" s="59" t="n">
        <f aca="false">SUM(R23:R33)</f>
        <v>0</v>
      </c>
      <c r="T34" s="13" t="s">
        <v>112</v>
      </c>
      <c r="U34" s="122"/>
      <c r="V34" s="122"/>
      <c r="W34" s="122"/>
      <c r="X34" s="17"/>
    </row>
    <row r="35" customFormat="false" ht="12.75" hidden="false" customHeight="false" outlineLevel="0" collapsed="false">
      <c r="A35" s="74" t="s">
        <v>10</v>
      </c>
      <c r="B35" s="50"/>
      <c r="C35" s="123"/>
      <c r="D35" s="124" t="n">
        <v>500</v>
      </c>
      <c r="E35" s="27" t="s">
        <v>113</v>
      </c>
      <c r="M35" s="24" t="s">
        <v>114</v>
      </c>
      <c r="N35" s="25"/>
      <c r="O35" s="60"/>
      <c r="P35" s="36" t="n">
        <v>0.03</v>
      </c>
      <c r="Q35" s="25"/>
      <c r="R35" s="39"/>
      <c r="T35" s="24"/>
      <c r="U35" s="25" t="s">
        <v>115</v>
      </c>
      <c r="V35" s="82" t="s">
        <v>116</v>
      </c>
      <c r="W35" s="82" t="s">
        <v>117</v>
      </c>
      <c r="X35" s="29"/>
      <c r="AC35" s="1" t="s">
        <v>1</v>
      </c>
      <c r="AE35" s="1" t="s">
        <v>1</v>
      </c>
    </row>
    <row r="36" customFormat="false" ht="12.75" hidden="false" customHeight="false" outlineLevel="0" collapsed="false">
      <c r="A36" s="74" t="s">
        <v>15</v>
      </c>
      <c r="B36" s="50"/>
      <c r="C36" s="125"/>
      <c r="D36" s="126" t="n">
        <v>1</v>
      </c>
      <c r="E36" s="127"/>
      <c r="M36" s="24" t="s">
        <v>118</v>
      </c>
      <c r="N36" s="25"/>
      <c r="O36" s="25"/>
      <c r="P36" s="60" t="s">
        <v>1</v>
      </c>
      <c r="Q36" s="25"/>
      <c r="R36" s="51" t="n">
        <v>0</v>
      </c>
      <c r="T36" s="24" t="s">
        <v>119</v>
      </c>
      <c r="U36" s="43" t="n">
        <v>120</v>
      </c>
      <c r="V36" s="43" t="n">
        <v>93</v>
      </c>
      <c r="W36" s="43" t="n">
        <v>80</v>
      </c>
      <c r="X36" s="29"/>
      <c r="Y36" s="71"/>
    </row>
    <row r="37" customFormat="false" ht="13.5" hidden="false" customHeight="false" outlineLevel="0" collapsed="false">
      <c r="A37" s="46" t="s">
        <v>120</v>
      </c>
      <c r="B37" s="47"/>
      <c r="C37" s="47"/>
      <c r="D37" s="128"/>
      <c r="E37" s="129"/>
      <c r="M37" s="24" t="s">
        <v>121</v>
      </c>
      <c r="N37" s="25"/>
      <c r="O37" s="36" t="n">
        <v>0</v>
      </c>
      <c r="P37" s="25"/>
      <c r="Q37" s="25"/>
      <c r="R37" s="51" t="n">
        <v>0</v>
      </c>
      <c r="T37" s="24" t="s">
        <v>122</v>
      </c>
      <c r="U37" s="43" t="n">
        <v>20</v>
      </c>
      <c r="V37" s="43" t="n">
        <v>20</v>
      </c>
      <c r="W37" s="43" t="n">
        <v>20</v>
      </c>
      <c r="X37" s="29"/>
    </row>
    <row r="38" customFormat="false" ht="13.5" hidden="false" customHeight="false" outlineLevel="0" collapsed="false">
      <c r="M38" s="24" t="s">
        <v>123</v>
      </c>
      <c r="N38" s="25"/>
      <c r="O38" s="25" t="s">
        <v>1</v>
      </c>
      <c r="P38" s="25"/>
      <c r="Q38" s="25"/>
      <c r="R38" s="51" t="n">
        <v>0</v>
      </c>
      <c r="T38" s="24" t="s">
        <v>124</v>
      </c>
      <c r="U38" s="43" t="n">
        <v>16</v>
      </c>
      <c r="V38" s="43" t="n">
        <v>16</v>
      </c>
      <c r="W38" s="43" t="n">
        <v>16</v>
      </c>
      <c r="X38" s="29"/>
    </row>
    <row r="39" customFormat="false" ht="12.75" hidden="false" customHeight="false" outlineLevel="0" collapsed="false">
      <c r="A39" s="13" t="s">
        <v>125</v>
      </c>
      <c r="B39" s="15"/>
      <c r="C39" s="15"/>
      <c r="D39" s="130" t="s">
        <v>126</v>
      </c>
      <c r="E39" s="131" t="n">
        <v>0.02</v>
      </c>
      <c r="M39" s="24" t="s">
        <v>127</v>
      </c>
      <c r="N39" s="25"/>
      <c r="O39" s="25" t="s">
        <v>1</v>
      </c>
      <c r="P39" s="28" t="s">
        <v>1</v>
      </c>
      <c r="Q39" s="25"/>
      <c r="R39" s="118" t="n">
        <v>0</v>
      </c>
      <c r="T39" s="24" t="s">
        <v>128</v>
      </c>
      <c r="U39" s="43" t="n">
        <v>0.02</v>
      </c>
      <c r="V39" s="43" t="n">
        <v>0.015</v>
      </c>
      <c r="W39" s="43" t="n">
        <v>0.01</v>
      </c>
      <c r="X39" s="29"/>
    </row>
    <row r="40" customFormat="false" ht="12.75" hidden="false" customHeight="false" outlineLevel="0" collapsed="false">
      <c r="A40" s="24"/>
      <c r="B40" s="25"/>
      <c r="C40" s="25"/>
      <c r="D40" s="25"/>
      <c r="E40" s="29"/>
      <c r="M40" s="57" t="s">
        <v>129</v>
      </c>
      <c r="N40" s="58"/>
      <c r="O40" s="58"/>
      <c r="P40" s="58"/>
      <c r="Q40" s="58"/>
      <c r="R40" s="59" t="n">
        <f aca="false">R35+R36+R37+R38+R39</f>
        <v>0</v>
      </c>
      <c r="T40" s="24" t="s">
        <v>130</v>
      </c>
      <c r="U40" s="132" t="n">
        <v>3300</v>
      </c>
      <c r="V40" s="132" t="n">
        <v>3300</v>
      </c>
      <c r="W40" s="132" t="n">
        <v>3300</v>
      </c>
      <c r="X40" s="29"/>
    </row>
    <row r="41" customFormat="false" ht="13.5" hidden="false" customHeight="false" outlineLevel="0" collapsed="false">
      <c r="A41" s="133" t="s">
        <v>131</v>
      </c>
      <c r="B41" s="25"/>
      <c r="C41" s="31" t="n">
        <v>2000</v>
      </c>
      <c r="D41" s="25"/>
      <c r="E41" s="32" t="s">
        <v>63</v>
      </c>
      <c r="M41" s="24" t="s">
        <v>132</v>
      </c>
      <c r="N41" s="25"/>
      <c r="O41" s="25" t="s">
        <v>1</v>
      </c>
      <c r="P41" s="25"/>
      <c r="Q41" s="25"/>
      <c r="R41" s="51" t="n">
        <v>0</v>
      </c>
      <c r="T41" s="46" t="s">
        <v>133</v>
      </c>
      <c r="U41" s="134" t="n">
        <v>600</v>
      </c>
      <c r="V41" s="134" t="n">
        <v>500</v>
      </c>
      <c r="W41" s="134" t="n">
        <v>400</v>
      </c>
      <c r="X41" s="49"/>
    </row>
    <row r="42" customFormat="false" ht="12.75" hidden="false" customHeight="false" outlineLevel="0" collapsed="false">
      <c r="A42" s="24" t="s">
        <v>134</v>
      </c>
      <c r="B42" s="25"/>
      <c r="C42" s="135" t="n">
        <v>48</v>
      </c>
      <c r="D42" s="25"/>
      <c r="E42" s="100" t="n">
        <f aca="false">CPI</f>
        <v>0.02</v>
      </c>
      <c r="M42" s="24" t="s">
        <v>135</v>
      </c>
      <c r="N42" s="25"/>
      <c r="O42" s="25" t="s">
        <v>1</v>
      </c>
      <c r="P42" s="25"/>
      <c r="Q42" s="25"/>
      <c r="R42" s="118" t="n">
        <v>0</v>
      </c>
      <c r="U42" s="119"/>
      <c r="V42" s="119"/>
      <c r="Y42" s="71"/>
    </row>
    <row r="43" customFormat="false" ht="13.5" hidden="false" customHeight="false" outlineLevel="0" collapsed="false">
      <c r="A43" s="24" t="s">
        <v>136</v>
      </c>
      <c r="B43" s="25"/>
      <c r="C43" s="135" t="n">
        <v>0</v>
      </c>
      <c r="D43" s="25"/>
      <c r="E43" s="100" t="n">
        <f aca="false">CPI</f>
        <v>0.02</v>
      </c>
      <c r="M43" s="57" t="s">
        <v>137</v>
      </c>
      <c r="N43" s="58"/>
      <c r="O43" s="58"/>
      <c r="P43" s="58"/>
      <c r="Q43" s="58"/>
      <c r="R43" s="59" t="n">
        <f aca="false">SUM(R41:R42)</f>
        <v>0</v>
      </c>
      <c r="U43" s="119"/>
      <c r="V43" s="119"/>
    </row>
    <row r="44" customFormat="false" ht="12.75" hidden="false" customHeight="false" outlineLevel="0" collapsed="false">
      <c r="A44" s="24" t="s">
        <v>138</v>
      </c>
      <c r="B44" s="25"/>
      <c r="C44" s="135" t="n">
        <v>0</v>
      </c>
      <c r="D44" s="25"/>
      <c r="E44" s="100" t="n">
        <f aca="false">CPI</f>
        <v>0.02</v>
      </c>
      <c r="M44" s="24" t="s">
        <v>139</v>
      </c>
      <c r="N44" s="25"/>
      <c r="O44" s="25" t="s">
        <v>1</v>
      </c>
      <c r="P44" s="25"/>
      <c r="Q44" s="25"/>
      <c r="R44" s="51" t="n">
        <v>0</v>
      </c>
      <c r="T44" s="13" t="s">
        <v>140</v>
      </c>
      <c r="U44" s="122"/>
      <c r="V44" s="122"/>
      <c r="W44" s="15"/>
      <c r="X44" s="17"/>
    </row>
    <row r="45" customFormat="false" ht="12.75" hidden="false" customHeight="false" outlineLevel="0" collapsed="false">
      <c r="A45" s="24" t="s">
        <v>141</v>
      </c>
      <c r="B45" s="25"/>
      <c r="C45" s="135" t="n">
        <v>0</v>
      </c>
      <c r="D45" s="62"/>
      <c r="E45" s="100" t="n">
        <f aca="false">CPI</f>
        <v>0.02</v>
      </c>
      <c r="M45" s="24" t="s">
        <v>142</v>
      </c>
      <c r="N45" s="25"/>
      <c r="O45" s="136" t="n">
        <v>0</v>
      </c>
      <c r="P45" s="25"/>
      <c r="Q45" s="25"/>
      <c r="R45" s="87" t="n">
        <v>0</v>
      </c>
      <c r="T45" s="24" t="s">
        <v>143</v>
      </c>
      <c r="U45" s="82" t="s">
        <v>144</v>
      </c>
      <c r="V45" s="82"/>
      <c r="W45" s="25"/>
      <c r="X45" s="29"/>
      <c r="Z45" s="1" t="s">
        <v>1</v>
      </c>
    </row>
    <row r="46" customFormat="false" ht="12.75" hidden="false" customHeight="false" outlineLevel="0" collapsed="false">
      <c r="A46" s="24" t="s">
        <v>145</v>
      </c>
      <c r="B46" s="25"/>
      <c r="C46" s="135" t="n">
        <v>0</v>
      </c>
      <c r="D46" s="25"/>
      <c r="E46" s="100" t="n">
        <f aca="false">CPI</f>
        <v>0.02</v>
      </c>
      <c r="M46" s="24" t="s">
        <v>146</v>
      </c>
      <c r="N46" s="25"/>
      <c r="O46" s="136"/>
      <c r="P46" s="25"/>
      <c r="Q46" s="25"/>
      <c r="R46" s="87" t="n">
        <v>900</v>
      </c>
      <c r="T46" s="137" t="n">
        <v>36739</v>
      </c>
      <c r="U46" s="60" t="n">
        <v>0.031</v>
      </c>
      <c r="V46" s="25"/>
      <c r="W46" s="25"/>
      <c r="X46" s="29"/>
    </row>
    <row r="47" customFormat="false" ht="12.75" hidden="false" customHeight="false" outlineLevel="0" collapsed="false">
      <c r="A47" s="24" t="s">
        <v>147</v>
      </c>
      <c r="B47" s="25"/>
      <c r="C47" s="135" t="n">
        <v>0</v>
      </c>
      <c r="D47" s="62"/>
      <c r="E47" s="100" t="n">
        <f aca="false">CPI</f>
        <v>0.02</v>
      </c>
      <c r="M47" s="57" t="s">
        <v>148</v>
      </c>
      <c r="N47" s="58"/>
      <c r="O47" s="58"/>
      <c r="P47" s="58"/>
      <c r="Q47" s="58"/>
      <c r="R47" s="59" t="n">
        <f aca="false">SUM(R44:R46)</f>
        <v>900</v>
      </c>
      <c r="T47" s="137" t="n">
        <v>36770</v>
      </c>
      <c r="U47" s="60" t="n">
        <v>0.205</v>
      </c>
      <c r="V47" s="25"/>
      <c r="W47" s="25"/>
      <c r="X47" s="29"/>
    </row>
    <row r="48" customFormat="false" ht="12.75" hidden="false" customHeight="false" outlineLevel="0" collapsed="false">
      <c r="A48" s="24" t="s">
        <v>149</v>
      </c>
      <c r="B48" s="25"/>
      <c r="C48" s="135" t="n">
        <v>0</v>
      </c>
      <c r="D48" s="25"/>
      <c r="E48" s="100" t="n">
        <f aca="false">CPI</f>
        <v>0.02</v>
      </c>
      <c r="M48" s="24" t="s">
        <v>150</v>
      </c>
      <c r="N48" s="25"/>
      <c r="O48" s="25"/>
      <c r="P48" s="138" t="n">
        <v>776012.569529602</v>
      </c>
      <c r="Q48" s="25"/>
      <c r="R48" s="51" t="n">
        <v>0</v>
      </c>
      <c r="T48" s="137" t="n">
        <v>36800</v>
      </c>
      <c r="U48" s="139" t="n">
        <v>0</v>
      </c>
      <c r="V48" s="25"/>
      <c r="W48" s="25"/>
      <c r="X48" s="29"/>
      <c r="Y48" s="71"/>
    </row>
    <row r="49" customFormat="false" ht="12.75" hidden="false" customHeight="false" outlineLevel="0" collapsed="false">
      <c r="A49" s="24" t="s">
        <v>151</v>
      </c>
      <c r="B49" s="25"/>
      <c r="C49" s="135" t="n">
        <v>0</v>
      </c>
      <c r="D49" s="25"/>
      <c r="E49" s="100" t="n">
        <f aca="false">CPI</f>
        <v>0.02</v>
      </c>
      <c r="F49" s="1" t="s">
        <v>1</v>
      </c>
      <c r="M49" s="24" t="s">
        <v>152</v>
      </c>
      <c r="N49" s="25"/>
      <c r="O49" s="25"/>
      <c r="P49" s="25"/>
      <c r="Q49" s="25"/>
      <c r="R49" s="51" t="n">
        <v>0</v>
      </c>
      <c r="T49" s="137" t="n">
        <v>36831</v>
      </c>
      <c r="U49" s="60" t="n">
        <v>0.063</v>
      </c>
      <c r="V49" s="25"/>
      <c r="W49" s="25"/>
      <c r="X49" s="29"/>
    </row>
    <row r="50" customFormat="false" ht="12.75" hidden="false" customHeight="false" outlineLevel="0" collapsed="false">
      <c r="A50" s="24" t="s">
        <v>153</v>
      </c>
      <c r="B50" s="25"/>
      <c r="C50" s="135" t="n">
        <v>0</v>
      </c>
      <c r="D50" s="25"/>
      <c r="E50" s="100" t="n">
        <f aca="false">CPI</f>
        <v>0.02</v>
      </c>
      <c r="M50" s="24" t="s">
        <v>154</v>
      </c>
      <c r="N50" s="25"/>
      <c r="O50" s="25"/>
      <c r="P50" s="25"/>
      <c r="Q50" s="25"/>
      <c r="R50" s="118" t="n">
        <v>0</v>
      </c>
      <c r="T50" s="137" t="n">
        <v>36861</v>
      </c>
      <c r="U50" s="139" t="n">
        <v>0.7</v>
      </c>
      <c r="V50" s="25"/>
      <c r="W50" s="25"/>
      <c r="X50" s="29"/>
    </row>
    <row r="51" customFormat="false" ht="12.75" hidden="false" customHeight="false" outlineLevel="0" collapsed="false">
      <c r="A51" s="24" t="s">
        <v>155</v>
      </c>
      <c r="B51" s="25"/>
      <c r="C51" s="135" t="n">
        <v>0</v>
      </c>
      <c r="D51" s="25"/>
      <c r="E51" s="100" t="n">
        <f aca="false">CPI</f>
        <v>0.02</v>
      </c>
      <c r="M51" s="57" t="s">
        <v>156</v>
      </c>
      <c r="N51" s="58"/>
      <c r="O51" s="58"/>
      <c r="P51" s="58"/>
      <c r="Q51" s="58"/>
      <c r="R51" s="140" t="n">
        <f aca="false">SUM(R48:R50)</f>
        <v>0</v>
      </c>
      <c r="T51" s="137" t="n">
        <v>36892</v>
      </c>
      <c r="U51" s="139" t="n">
        <v>0</v>
      </c>
      <c r="V51" s="25"/>
      <c r="W51" s="25"/>
      <c r="X51" s="29"/>
    </row>
    <row r="52" customFormat="false" ht="13.5" hidden="false" customHeight="false" outlineLevel="0" collapsed="false">
      <c r="A52" s="24" t="s">
        <v>102</v>
      </c>
      <c r="B52" s="25"/>
      <c r="C52" s="135" t="n">
        <v>0</v>
      </c>
      <c r="D52" s="25"/>
      <c r="E52" s="100" t="n">
        <f aca="false">CPI</f>
        <v>0.02</v>
      </c>
      <c r="G52" s="0"/>
      <c r="H52" s="0"/>
      <c r="I52" s="0"/>
      <c r="J52" s="0"/>
      <c r="K52" s="0"/>
      <c r="M52" s="141" t="s">
        <v>157</v>
      </c>
      <c r="N52" s="142"/>
      <c r="O52" s="142"/>
      <c r="P52" s="142"/>
      <c r="Q52" s="47"/>
      <c r="R52" s="143" t="n">
        <f aca="false">SUM(R12+R14+R18+R22+R34+R40+R43+R47+R51)</f>
        <v>13000</v>
      </c>
      <c r="T52" s="46"/>
      <c r="U52" s="47"/>
      <c r="V52" s="47"/>
      <c r="W52" s="47"/>
      <c r="X52" s="49"/>
    </row>
    <row r="53" customFormat="false" ht="12.75" hidden="false" customHeight="false" outlineLevel="0" collapsed="false">
      <c r="A53" s="24" t="s">
        <v>158</v>
      </c>
      <c r="B53" s="25"/>
      <c r="C53" s="135" t="n">
        <v>0</v>
      </c>
      <c r="D53" s="25"/>
      <c r="E53" s="100" t="n">
        <f aca="false">CPI</f>
        <v>0.02</v>
      </c>
      <c r="G53" s="0"/>
      <c r="H53" s="0"/>
      <c r="I53" s="0"/>
      <c r="J53" s="0"/>
      <c r="K53" s="0"/>
      <c r="M53" s="144"/>
      <c r="N53" s="110"/>
      <c r="O53" s="110"/>
      <c r="P53" s="110"/>
      <c r="Q53" s="110"/>
      <c r="R53" s="145"/>
    </row>
    <row r="54" customFormat="false" ht="12.75" hidden="false" customHeight="false" outlineLevel="0" collapsed="false">
      <c r="A54" s="24" t="s">
        <v>159</v>
      </c>
      <c r="B54" s="25"/>
      <c r="C54" s="135" t="n">
        <f aca="false">SUM(C42:C53)</f>
        <v>48</v>
      </c>
      <c r="D54" s="25"/>
      <c r="E54" s="100" t="n">
        <f aca="false">CPI</f>
        <v>0.02</v>
      </c>
      <c r="G54" s="0"/>
      <c r="H54" s="0"/>
      <c r="I54" s="0"/>
      <c r="J54" s="0"/>
      <c r="K54" s="0"/>
      <c r="M54" s="146" t="s">
        <v>160</v>
      </c>
      <c r="N54" s="147"/>
      <c r="O54" s="147"/>
      <c r="P54" s="147"/>
      <c r="Q54" s="110"/>
      <c r="R54" s="148" t="n">
        <f aca="false">COST/capacity</f>
        <v>26</v>
      </c>
      <c r="Y54" s="71"/>
    </row>
    <row r="55" customFormat="false" ht="12.75" hidden="false" customHeight="false" outlineLevel="0" collapsed="false">
      <c r="A55" s="24"/>
      <c r="B55" s="25"/>
      <c r="C55" s="25"/>
      <c r="D55" s="25"/>
      <c r="E55" s="149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3" t="s">
        <v>161</v>
      </c>
      <c r="B56" s="25"/>
      <c r="C56" s="135" t="n">
        <v>0</v>
      </c>
      <c r="D56" s="25"/>
      <c r="E56" s="100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4" t="s">
        <v>162</v>
      </c>
      <c r="B57" s="25"/>
      <c r="C57" s="135" t="n">
        <v>0</v>
      </c>
      <c r="D57" s="25"/>
      <c r="E57" s="100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4" t="s">
        <v>138</v>
      </c>
      <c r="B58" s="25"/>
      <c r="C58" s="135" t="n">
        <v>0</v>
      </c>
      <c r="D58" s="25"/>
      <c r="E58" s="100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4" t="s">
        <v>163</v>
      </c>
      <c r="B59" s="25"/>
      <c r="C59" s="135" t="n">
        <v>0</v>
      </c>
      <c r="D59" s="25"/>
      <c r="E59" s="100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6" t="s">
        <v>102</v>
      </c>
      <c r="B60" s="47"/>
      <c r="C60" s="150" t="n">
        <v>0</v>
      </c>
      <c r="D60" s="47"/>
      <c r="E60" s="108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1" t="s">
        <v>164</v>
      </c>
      <c r="D62" s="71" t="n">
        <v>0.04</v>
      </c>
      <c r="G62" s="0"/>
      <c r="H62" s="0"/>
      <c r="I62" s="0"/>
      <c r="J62" s="0"/>
      <c r="K62" s="0"/>
      <c r="Y62" s="71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51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165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166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  <c r="O104" s="1" t="s">
        <v>167</v>
      </c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M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25:X25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D67" activeCellId="0" sqref="D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7" min="4" style="1" width="10.71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2" t="s">
        <v>168</v>
      </c>
      <c r="B1" s="152"/>
    </row>
    <row r="2" customFormat="false" ht="15.75" hidden="false" customHeight="false" outlineLevel="0" collapsed="false">
      <c r="A2" s="153" t="n">
        <f aca="false">ASS!A4</f>
        <v>0</v>
      </c>
      <c r="B2" s="154"/>
    </row>
    <row r="3" customFormat="false" ht="12.75" hidden="false" customHeight="false" outlineLevel="0" collapsed="false">
      <c r="A3" s="155" t="s">
        <v>169</v>
      </c>
      <c r="B3" s="156"/>
      <c r="C3" s="156"/>
      <c r="D3" s="156" t="n">
        <v>1</v>
      </c>
      <c r="E3" s="156" t="n">
        <f aca="false">D3+1</f>
        <v>2</v>
      </c>
      <c r="F3" s="156" t="n">
        <f aca="false">E3+1</f>
        <v>3</v>
      </c>
      <c r="G3" s="157"/>
    </row>
    <row r="4" customFormat="false" ht="12.75" hidden="false" customHeight="false" outlineLevel="0" collapsed="false">
      <c r="A4" s="158" t="s">
        <v>170</v>
      </c>
      <c r="B4" s="25"/>
      <c r="C4" s="25"/>
      <c r="D4" s="159" t="n">
        <f aca="false">STARTYR</f>
        <v>2001</v>
      </c>
      <c r="E4" s="159" t="n">
        <f aca="false">IF(D4+1-$D$4&gt;TERM,0,IF(D4&gt;0,D4+1,0))</f>
        <v>2002</v>
      </c>
      <c r="F4" s="159" t="n">
        <f aca="false">IF(E4+1-$D$4&gt;TERM,0,IF(E4&gt;0,E4+1,0))</f>
        <v>2003</v>
      </c>
      <c r="G4" s="160" t="s">
        <v>171</v>
      </c>
    </row>
    <row r="5" customFormat="false" ht="12.75" hidden="false" customHeight="false" outlineLevel="0" collapsed="false">
      <c r="A5" s="144" t="s">
        <v>172</v>
      </c>
      <c r="B5" s="110"/>
      <c r="C5" s="110"/>
      <c r="D5" s="110" t="n">
        <f aca="false">IF(D3&lt;=TERM,12,IF(D3=TERM+1,+MOSYR1-1,0))</f>
        <v>12</v>
      </c>
      <c r="E5" s="110" t="n">
        <f aca="false">IF(E3&lt;=TERM,12,IF(E3=TERM+1,+MOSYR1-1,0))</f>
        <v>12</v>
      </c>
      <c r="F5" s="110" t="n">
        <f aca="false">IF(F3&lt;=TERM,12,IF(F3=TERM+1,+MOSYR1-1,0))</f>
        <v>12</v>
      </c>
      <c r="G5" s="161"/>
    </row>
    <row r="6" customFormat="false" ht="12.75" hidden="false" customHeight="false" outlineLevel="0" collapsed="false">
      <c r="A6" s="162"/>
      <c r="B6" s="25"/>
      <c r="C6" s="25"/>
      <c r="D6" s="25"/>
      <c r="E6" s="25"/>
      <c r="F6" s="25"/>
      <c r="G6" s="163"/>
    </row>
    <row r="7" customFormat="false" ht="12.75" hidden="false" customHeight="false" outlineLevel="0" collapsed="false">
      <c r="A7" s="155" t="s">
        <v>173</v>
      </c>
      <c r="B7" s="156"/>
      <c r="C7" s="156"/>
      <c r="D7" s="156" t="n">
        <f aca="false">IF(D3&gt;TERM,0,capacity)</f>
        <v>500</v>
      </c>
      <c r="E7" s="156" t="n">
        <f aca="false">IF(E3&gt;TERM,0,capacity)</f>
        <v>500</v>
      </c>
      <c r="F7" s="156" t="n">
        <f aca="false">IF(F3&gt;TERM,0,capacity)</f>
        <v>500</v>
      </c>
      <c r="G7" s="157"/>
    </row>
    <row r="8" customFormat="false" ht="12.75" hidden="false" customHeight="false" outlineLevel="0" collapsed="false">
      <c r="A8" s="25" t="s">
        <v>174</v>
      </c>
      <c r="B8" s="25"/>
      <c r="C8" s="25"/>
      <c r="D8" s="164" t="n">
        <f aca="false">20*16*D7*avail*dispatch*D5/12</f>
        <v>160000</v>
      </c>
      <c r="E8" s="164" t="n">
        <f aca="false">20*16*E7*avail*dispatch*E5/12</f>
        <v>160000</v>
      </c>
      <c r="F8" s="164" t="n">
        <f aca="false">20*16*F7*avail*dispatch*F5/12</f>
        <v>160000</v>
      </c>
      <c r="G8" s="165"/>
    </row>
    <row r="9" customFormat="false" ht="12.75" hidden="false" customHeight="false" outlineLevel="0" collapsed="false">
      <c r="A9" s="166" t="s">
        <v>175</v>
      </c>
      <c r="B9" s="25"/>
      <c r="C9" s="25"/>
      <c r="D9" s="25"/>
      <c r="E9" s="25"/>
      <c r="F9" s="25"/>
      <c r="G9" s="165"/>
    </row>
    <row r="10" customFormat="false" ht="12.75" hidden="false" customHeight="false" outlineLevel="0" collapsed="false">
      <c r="A10" s="166" t="s">
        <v>176</v>
      </c>
      <c r="B10" s="25"/>
      <c r="C10" s="25"/>
      <c r="D10" s="25"/>
      <c r="E10" s="25"/>
      <c r="F10" s="25"/>
      <c r="G10" s="165"/>
    </row>
    <row r="11" customFormat="false" ht="12.75" hidden="false" customHeight="false" outlineLevel="0" collapsed="false">
      <c r="A11" s="162" t="s">
        <v>177</v>
      </c>
      <c r="B11" s="25"/>
      <c r="C11" s="25"/>
      <c r="D11" s="167" t="n">
        <f aca="false">ASS!U37*ASS!U38*capacity*ASS!U39</f>
        <v>3200</v>
      </c>
      <c r="E11" s="167" t="n">
        <f aca="false">ASS!V37*ASS!V38*capacity*ASS!V39</f>
        <v>2400</v>
      </c>
      <c r="F11" s="167" t="n">
        <f aca="false">ASS!W37*ASS!W38*capacity*ASS!W39</f>
        <v>1600</v>
      </c>
      <c r="G11" s="165"/>
    </row>
    <row r="12" customFormat="false" ht="12.75" hidden="false" customHeight="false" outlineLevel="0" collapsed="false">
      <c r="A12" s="162" t="s">
        <v>178</v>
      </c>
      <c r="B12" s="25"/>
      <c r="C12" s="25"/>
      <c r="D12" s="168" t="n">
        <f aca="false">ASS!U40</f>
        <v>3300</v>
      </c>
      <c r="E12" s="168" t="n">
        <f aca="false">ASS!V40</f>
        <v>3300</v>
      </c>
      <c r="F12" s="168" t="n">
        <f aca="false">ASS!W40</f>
        <v>3300</v>
      </c>
      <c r="G12" s="165"/>
    </row>
    <row r="13" customFormat="false" ht="12.75" hidden="false" customHeight="false" outlineLevel="0" collapsed="false">
      <c r="A13" s="162" t="s">
        <v>179</v>
      </c>
      <c r="B13" s="25"/>
      <c r="C13" s="25"/>
      <c r="D13" s="169" t="n">
        <f aca="false">ASS!U41</f>
        <v>600</v>
      </c>
      <c r="E13" s="169" t="n">
        <f aca="false">ASS!V41</f>
        <v>500</v>
      </c>
      <c r="F13" s="169" t="n">
        <f aca="false">ASS!W41</f>
        <v>400</v>
      </c>
      <c r="G13" s="165"/>
    </row>
    <row r="14" customFormat="false" ht="12.75" hidden="false" customHeight="false" outlineLevel="0" collapsed="false">
      <c r="A14" s="162" t="s">
        <v>180</v>
      </c>
      <c r="B14" s="25"/>
      <c r="C14" s="25"/>
      <c r="D14" s="168" t="n">
        <f aca="false">SUM(D11:D13)</f>
        <v>7100</v>
      </c>
      <c r="E14" s="168" t="n">
        <f aca="false">SUM(E11:E13)</f>
        <v>6200</v>
      </c>
      <c r="F14" s="168" t="n">
        <f aca="false">SUM(F11:F13)</f>
        <v>5300</v>
      </c>
      <c r="G14" s="165"/>
    </row>
    <row r="15" customFormat="false" ht="12.75" hidden="false" customHeight="false" outlineLevel="0" collapsed="false">
      <c r="A15" s="166"/>
      <c r="B15" s="25"/>
      <c r="C15" s="25"/>
      <c r="D15" s="25"/>
      <c r="E15" s="25"/>
      <c r="F15" s="25"/>
      <c r="G15" s="165"/>
    </row>
    <row r="16" customFormat="false" ht="12.75" hidden="false" customHeight="false" outlineLevel="0" collapsed="false">
      <c r="A16" s="162" t="s">
        <v>181</v>
      </c>
      <c r="B16" s="25"/>
      <c r="C16" s="25"/>
      <c r="D16" s="64" t="n">
        <f aca="false">ASS!$D$62*BS_IS!F7*D5/12</f>
        <v>0</v>
      </c>
      <c r="E16" s="64" t="n">
        <f aca="false">ASS!$D$62*BS_IS!G7*E5/12</f>
        <v>0</v>
      </c>
      <c r="F16" s="64" t="n">
        <f aca="false">ASS!$D$62*BS_IS!H7*F5/12</f>
        <v>0</v>
      </c>
      <c r="G16" s="170"/>
    </row>
    <row r="17" customFormat="false" ht="12.75" hidden="false" customHeight="false" outlineLevel="0" collapsed="false">
      <c r="A17" s="162"/>
      <c r="B17" s="25"/>
      <c r="C17" s="25"/>
      <c r="D17" s="64"/>
      <c r="E17" s="64"/>
      <c r="F17" s="64"/>
      <c r="G17" s="170"/>
    </row>
    <row r="18" customFormat="false" ht="12.75" hidden="false" customHeight="false" outlineLevel="0" collapsed="false">
      <c r="A18" s="166" t="s">
        <v>182</v>
      </c>
      <c r="B18" s="25"/>
      <c r="C18" s="25"/>
      <c r="D18" s="171" t="n">
        <f aca="false">D14+D16</f>
        <v>7100</v>
      </c>
      <c r="E18" s="171" t="n">
        <f aca="false">E14+E16</f>
        <v>6200</v>
      </c>
      <c r="F18" s="171" t="n">
        <f aca="false">F14+F16</f>
        <v>5300</v>
      </c>
      <c r="G18" s="172" t="n">
        <f aca="false">SUM(D18:F18)</f>
        <v>18600</v>
      </c>
    </row>
    <row r="19" customFormat="false" ht="12.75" hidden="false" customHeight="false" outlineLevel="0" collapsed="false">
      <c r="A19" s="162"/>
      <c r="B19" s="25"/>
      <c r="C19" s="25"/>
      <c r="D19" s="173"/>
      <c r="E19" s="25"/>
      <c r="F19" s="25"/>
      <c r="G19" s="165"/>
    </row>
    <row r="20" customFormat="false" ht="12.75" hidden="false" customHeight="false" outlineLevel="0" collapsed="false">
      <c r="A20" s="162"/>
      <c r="B20" s="25"/>
      <c r="C20" s="25"/>
      <c r="D20" s="173"/>
      <c r="E20" s="174"/>
      <c r="F20" s="174"/>
      <c r="G20" s="165"/>
    </row>
    <row r="21" customFormat="false" ht="12.75" hidden="false" customHeight="false" outlineLevel="0" collapsed="false">
      <c r="A21" s="166" t="s">
        <v>183</v>
      </c>
      <c r="B21" s="25"/>
      <c r="C21" s="25"/>
      <c r="D21" s="174"/>
      <c r="E21" s="175"/>
      <c r="F21" s="25"/>
      <c r="G21" s="165"/>
    </row>
    <row r="22" customFormat="false" ht="12.75" hidden="false" customHeight="false" outlineLevel="0" collapsed="false">
      <c r="A22" s="162"/>
      <c r="B22" s="25"/>
      <c r="C22" s="25"/>
      <c r="D22" s="64"/>
      <c r="E22" s="64"/>
      <c r="F22" s="64"/>
      <c r="G22" s="170"/>
    </row>
    <row r="23" customFormat="false" ht="12.75" hidden="false" customHeight="false" outlineLevel="0" collapsed="false">
      <c r="A23" s="176" t="s">
        <v>184</v>
      </c>
      <c r="B23" s="25"/>
      <c r="C23" s="25"/>
      <c r="D23" s="64"/>
      <c r="E23" s="64"/>
      <c r="F23" s="64"/>
      <c r="G23" s="170"/>
    </row>
    <row r="24" customFormat="false" ht="12.75" hidden="false" customHeight="false" outlineLevel="0" collapsed="false">
      <c r="A24" s="176" t="s">
        <v>185</v>
      </c>
      <c r="B24" s="25"/>
      <c r="C24" s="25"/>
      <c r="D24" s="64"/>
      <c r="E24" s="64"/>
      <c r="F24" s="64"/>
      <c r="G24" s="170"/>
    </row>
    <row r="25" customFormat="false" ht="12.75" hidden="false" customHeight="false" outlineLevel="0" collapsed="false">
      <c r="A25" s="162" t="str">
        <f aca="false">ASS!A42</f>
        <v>Miscellaneous O&amp;M</v>
      </c>
      <c r="B25" s="25"/>
      <c r="C25" s="25"/>
      <c r="D25" s="64" t="n">
        <f aca="false">ASS!$C$42*(1+ASS!$E$42)^(D4-ASS!$C$41)*D5/12</f>
        <v>48.96</v>
      </c>
      <c r="E25" s="64" t="n">
        <f aca="false">ASS!$C$42*(1+ASS!$E$42)^(E4-ASS!$C$41)*E5/12</f>
        <v>49.9392</v>
      </c>
      <c r="F25" s="64" t="n">
        <f aca="false">ASS!$C$42*(1+ASS!$E$42)^(F4-ASS!$C$41)*F5/12</f>
        <v>50.937984</v>
      </c>
      <c r="G25" s="170" t="n">
        <f aca="false">SUM(D25:F25)</f>
        <v>149.837184</v>
      </c>
    </row>
    <row r="26" customFormat="false" ht="12.75" hidden="false" customHeight="false" outlineLevel="0" collapsed="false">
      <c r="A26" s="162" t="str">
        <f aca="false">ASS!A43</f>
        <v>Miscellaneous G&amp;A</v>
      </c>
      <c r="B26" s="25"/>
      <c r="C26" s="25"/>
      <c r="D26" s="64" t="n">
        <f aca="false">ASS!$C$43*(1+ASS!$E$43)^(D4-ASS!$C$41)*D5/12</f>
        <v>0</v>
      </c>
      <c r="E26" s="64" t="n">
        <f aca="false">ASS!$C$43*(1+ASS!$E$43)^(E4-ASS!$C$41)*E5/12</f>
        <v>0</v>
      </c>
      <c r="F26" s="64" t="n">
        <f aca="false">ASS!$C$43*(1+ASS!$E$43)^(F4-ASS!$C$41)*F5/12</f>
        <v>0</v>
      </c>
      <c r="G26" s="170" t="n">
        <f aca="false">SUM(D26:F26)</f>
        <v>0</v>
      </c>
    </row>
    <row r="27" customFormat="false" ht="12.75" hidden="false" customHeight="false" outlineLevel="0" collapsed="false">
      <c r="A27" s="162" t="str">
        <f aca="false">ASS!A44</f>
        <v>Maintenance Reserve</v>
      </c>
      <c r="B27" s="25"/>
      <c r="C27" s="25"/>
      <c r="D27" s="64" t="n">
        <f aca="false">ASS!$C$44*(1+ASS!$E$44)^(D4-ASS!$C$41)*D5/12</f>
        <v>0</v>
      </c>
      <c r="E27" s="64" t="n">
        <f aca="false">ASS!$C$44*(1+ASS!$E$44)^(E4-ASS!$C$41)*E5/12</f>
        <v>0</v>
      </c>
      <c r="F27" s="64" t="n">
        <f aca="false">ASS!$C$44*(1+ASS!$E$44)^(F4-ASS!$C$41)*F5/12</f>
        <v>0</v>
      </c>
      <c r="G27" s="170" t="n">
        <f aca="false">SUM(D27:F27)</f>
        <v>0</v>
      </c>
    </row>
    <row r="28" customFormat="false" ht="12.75" hidden="false" customHeight="false" outlineLevel="0" collapsed="false">
      <c r="A28" s="162" t="str">
        <f aca="false">ASS!A45</f>
        <v>Plant Insurance</v>
      </c>
      <c r="B28" s="25"/>
      <c r="C28" s="25"/>
      <c r="D28" s="64" t="n">
        <f aca="false">ASS!$C$45*(1+ASS!$E$45)^(D4-ASS!$C$41)*D5/12</f>
        <v>0</v>
      </c>
      <c r="E28" s="64" t="n">
        <f aca="false">ASS!$C$45*(1+ASS!$E$45)^(E4-ASS!$C$41)*E5/12</f>
        <v>0</v>
      </c>
      <c r="F28" s="64" t="n">
        <f aca="false">ASS!$C$45*(1+ASS!$E$45)^(F4-ASS!$C$41)*F5/12</f>
        <v>0</v>
      </c>
      <c r="G28" s="170" t="n">
        <f aca="false">SUM(D28:F28)</f>
        <v>0</v>
      </c>
    </row>
    <row r="29" customFormat="false" ht="12.75" hidden="false" customHeight="false" outlineLevel="0" collapsed="false">
      <c r="A29" s="162" t="str">
        <f aca="false">ASS!A46</f>
        <v>Payroll</v>
      </c>
      <c r="B29" s="25"/>
      <c r="C29" s="25"/>
      <c r="D29" s="64" t="n">
        <f aca="false">ASS!$C$46*(1+ASS!$E$46)^(D4-ASS!$C$41)*D5/12</f>
        <v>0</v>
      </c>
      <c r="E29" s="64" t="n">
        <f aca="false">ASS!$C$46*(1+ASS!$E$46)^(E4-ASS!$C$41)*E5/12</f>
        <v>0</v>
      </c>
      <c r="F29" s="64" t="n">
        <f aca="false">ASS!$C$46*(1+ASS!$E$46)^(F4-ASS!$C$41)*F5/12</f>
        <v>0</v>
      </c>
      <c r="G29" s="170" t="n">
        <f aca="false">SUM(D29:F29)</f>
        <v>0</v>
      </c>
    </row>
    <row r="30" customFormat="false" ht="12.75" hidden="false" customHeight="false" outlineLevel="0" collapsed="false">
      <c r="A30" s="162" t="str">
        <f aca="false">ASS!A47</f>
        <v>Spare Parts </v>
      </c>
      <c r="B30" s="25"/>
      <c r="C30" s="25"/>
      <c r="D30" s="64" t="n">
        <f aca="false">ASS!$C$47*(1+ASS!$E$47)^(D4-ASS!$C$41)*D5/12</f>
        <v>0</v>
      </c>
      <c r="E30" s="64" t="n">
        <f aca="false">ASS!$C$47*(1+ASS!$E$47)^(E4-ASS!$C$41)*E5/12</f>
        <v>0</v>
      </c>
      <c r="F30" s="64" t="n">
        <f aca="false">ASS!$C$47*(1+ASS!$E$47)^(F4-ASS!$C$41)*F5/12</f>
        <v>0</v>
      </c>
      <c r="G30" s="170" t="n">
        <f aca="false">SUM(D30:F30)</f>
        <v>0</v>
      </c>
    </row>
    <row r="31" customFormat="false" ht="12.75" hidden="false" customHeight="false" outlineLevel="0" collapsed="false">
      <c r="A31" s="162" t="str">
        <f aca="false">ASS!A48</f>
        <v>Water &amp; Chemicals</v>
      </c>
      <c r="B31" s="25"/>
      <c r="C31" s="25"/>
      <c r="D31" s="64" t="n">
        <f aca="false">ASS!$C$48*(1+ASS!$E$48)^(D4-ASS!$C$41)*D5/12</f>
        <v>0</v>
      </c>
      <c r="E31" s="64" t="n">
        <f aca="false">ASS!$C$48*(1+ASS!$E$48)^(E4-ASS!$C$41)*E5/12</f>
        <v>0</v>
      </c>
      <c r="F31" s="64" t="n">
        <f aca="false">ASS!$C$48*(1+ASS!$E$48)^(F4-ASS!$C$41)*F5/12</f>
        <v>0</v>
      </c>
      <c r="G31" s="170" t="n">
        <f aca="false">SUM(D31:F31)</f>
        <v>0</v>
      </c>
    </row>
    <row r="32" customFormat="false" ht="12.75" hidden="false" customHeight="false" outlineLevel="0" collapsed="false">
      <c r="A32" s="162" t="str">
        <f aca="false">ASS!A49</f>
        <v>Plant Operations (O&amp;M Fee)</v>
      </c>
      <c r="B32" s="25"/>
      <c r="C32" s="25"/>
      <c r="D32" s="64" t="n">
        <f aca="false">ASS!$C$49*(1+ASS!$E$49)^(D4-ASS!$C$41)*D5/12</f>
        <v>0</v>
      </c>
      <c r="E32" s="64" t="n">
        <f aca="false">ASS!$C$49*(1+ASS!$E$49)^(E4-ASS!$C$41)*E5/12</f>
        <v>0</v>
      </c>
      <c r="F32" s="64" t="n">
        <f aca="false">ASS!$C$49*(1+ASS!$E$49)^(F4-ASS!$C$41)*F5/12</f>
        <v>0</v>
      </c>
      <c r="G32" s="170" t="n">
        <f aca="false">SUM(D32:F32)</f>
        <v>0</v>
      </c>
    </row>
    <row r="33" customFormat="false" ht="12.75" hidden="false" customHeight="false" outlineLevel="0" collapsed="false">
      <c r="A33" s="162" t="str">
        <f aca="false">ASS!A50</f>
        <v>Transmission Capacity Pmt.</v>
      </c>
      <c r="B33" s="25"/>
      <c r="C33" s="64"/>
      <c r="D33" s="64" t="n">
        <f aca="false">ASS!$C$50*(1+ASS!$E$50)^(D4-ASS!$C$41)*D5/12</f>
        <v>0</v>
      </c>
      <c r="E33" s="64" t="n">
        <f aca="false">ASS!$C$50*(1+ASS!$E$50)^(E4-ASS!$C$41)*E5/12</f>
        <v>0</v>
      </c>
      <c r="F33" s="64" t="n">
        <f aca="false">ASS!$C$50*(1+ASS!$E$50)^(F4-ASS!$C$41)*F5/12</f>
        <v>0</v>
      </c>
      <c r="G33" s="170" t="n">
        <f aca="false">SUM(D33:F33)</f>
        <v>0</v>
      </c>
    </row>
    <row r="34" customFormat="false" ht="12.75" hidden="false" customHeight="false" outlineLevel="0" collapsed="false">
      <c r="A34" s="162" t="str">
        <f aca="false">ASS!A51</f>
        <v>Pipeline Operations</v>
      </c>
      <c r="B34" s="25"/>
      <c r="C34" s="25"/>
      <c r="D34" s="64" t="n">
        <f aca="false">ASS!$C$51*(1+ASS!$E$51)^(D4-ASS!$C$41)*D5/12</f>
        <v>0</v>
      </c>
      <c r="E34" s="64" t="n">
        <f aca="false">ASS!$C$51*(1+ASS!$E$51)^(E4-ASS!$C$41)*E5/12</f>
        <v>0</v>
      </c>
      <c r="F34" s="64" t="n">
        <f aca="false">ASS!$C$51*(1+ASS!$E$51)^(F4-ASS!$C$41)*F5/12</f>
        <v>0</v>
      </c>
      <c r="G34" s="170" t="n">
        <f aca="false">SUM(D34:F34)</f>
        <v>0</v>
      </c>
    </row>
    <row r="35" customFormat="false" ht="12.75" hidden="false" customHeight="false" outlineLevel="0" collapsed="false">
      <c r="A35" s="162" t="str">
        <f aca="false">ASS!A52</f>
        <v>Other</v>
      </c>
      <c r="B35" s="25"/>
      <c r="C35" s="25"/>
      <c r="D35" s="64" t="n">
        <f aca="false">ASS!$C$52*(1+ASS!$E$52)^(D4-ASS!$C$41)*D5/12</f>
        <v>0</v>
      </c>
      <c r="E35" s="64" t="n">
        <f aca="false">ASS!$C$52*(1+ASS!$E$52)^(E4-ASS!$C$41)*E5/12</f>
        <v>0</v>
      </c>
      <c r="F35" s="64" t="n">
        <f aca="false">ASS!$C$52*(1+ASS!$E$52)^(F4-ASS!$C$41)*F5/12</f>
        <v>0</v>
      </c>
      <c r="G35" s="170" t="n">
        <f aca="false">SUM(D35:F35)</f>
        <v>0</v>
      </c>
    </row>
    <row r="36" customFormat="false" ht="12.75" hidden="false" customHeight="false" outlineLevel="0" collapsed="false">
      <c r="A36" s="162" t="str">
        <f aca="false">ASS!A53</f>
        <v>Property Tax</v>
      </c>
      <c r="B36" s="25"/>
      <c r="C36" s="25"/>
      <c r="D36" s="177" t="n">
        <f aca="false">ASS!$C$53*(1+ASS!$E$53)^(D4-ASS!$C$41)*D5/12</f>
        <v>0</v>
      </c>
      <c r="E36" s="177" t="n">
        <f aca="false">ASS!$C$53*(1+ASS!$E$53)^(E4-ASS!$C$41)*E5/12</f>
        <v>0</v>
      </c>
      <c r="F36" s="177" t="n">
        <f aca="false">ASS!$C$53*(1+ASS!$E$53)^(F4-ASS!$C$41)*F5/12</f>
        <v>0</v>
      </c>
      <c r="G36" s="178" t="n">
        <f aca="false">SUM(D36:F36)</f>
        <v>0</v>
      </c>
    </row>
    <row r="37" customFormat="false" ht="12.75" hidden="false" customHeight="false" outlineLevel="0" collapsed="false">
      <c r="A37" s="162" t="s">
        <v>159</v>
      </c>
      <c r="B37" s="25"/>
      <c r="C37" s="25"/>
      <c r="D37" s="64" t="n">
        <f aca="false">SUM(D25:D36)</f>
        <v>48.96</v>
      </c>
      <c r="E37" s="64" t="n">
        <f aca="false">SUM(E25:E36)</f>
        <v>49.9392</v>
      </c>
      <c r="F37" s="64" t="n">
        <f aca="false">SUM(F25:F36)</f>
        <v>50.937984</v>
      </c>
      <c r="G37" s="170" t="n">
        <f aca="false">SUM(D37:F37)</f>
        <v>149.837184</v>
      </c>
    </row>
    <row r="38" customFormat="false" ht="12.75" hidden="false" customHeight="false" outlineLevel="0" collapsed="false">
      <c r="A38" s="162"/>
      <c r="B38" s="25"/>
      <c r="C38" s="25"/>
      <c r="D38" s="64"/>
      <c r="E38" s="64"/>
      <c r="F38" s="64"/>
      <c r="G38" s="170"/>
    </row>
    <row r="39" customFormat="false" ht="12.75" hidden="false" customHeight="false" outlineLevel="0" collapsed="false">
      <c r="A39" s="176" t="s">
        <v>186</v>
      </c>
      <c r="B39" s="25"/>
      <c r="C39" s="25"/>
      <c r="D39" s="64"/>
      <c r="E39" s="64"/>
      <c r="F39" s="64"/>
      <c r="G39" s="170"/>
    </row>
    <row r="40" customFormat="false" ht="12.75" hidden="false" customHeight="false" outlineLevel="0" collapsed="false">
      <c r="A40" s="162" t="str">
        <f aca="false">ASS!A58</f>
        <v>Maintenance Reserve</v>
      </c>
      <c r="B40" s="25"/>
      <c r="C40" s="64"/>
      <c r="D40" s="64" t="n">
        <f aca="false">ASS!$C$57*(1+ASS!$E$57)^(D4-ASS!$C$41)*D5/12</f>
        <v>0</v>
      </c>
      <c r="E40" s="64" t="n">
        <f aca="false">ASS!$C$57*(1+ASS!$E$57)^(E4-ASS!$C$41)*E5/12</f>
        <v>0</v>
      </c>
      <c r="F40" s="64" t="n">
        <f aca="false">ASS!$C$57*(1+ASS!$E$57)^(F4-ASS!$C$41)*F5/12</f>
        <v>0</v>
      </c>
      <c r="G40" s="170" t="n">
        <f aca="false">SUM(D40:F40)</f>
        <v>0</v>
      </c>
    </row>
    <row r="41" customFormat="false" ht="12.75" hidden="false" customHeight="false" outlineLevel="0" collapsed="false">
      <c r="A41" s="162" t="str">
        <f aca="false">ASS!A59</f>
        <v>Maintenance Excluding (Major Maint)</v>
      </c>
      <c r="B41" s="25"/>
      <c r="C41" s="25"/>
      <c r="D41" s="64" t="n">
        <f aca="false">ASS!$C$58*(1+ASS!$E$58)^(D4-ASS!$C$41)*D5/12</f>
        <v>0</v>
      </c>
      <c r="E41" s="64" t="n">
        <f aca="false">ASS!$C$58*(1+ASS!$E$58)^(E4-ASS!$C$41)*E5/12</f>
        <v>0</v>
      </c>
      <c r="F41" s="64" t="n">
        <f aca="false">ASS!$C$58*(1+ASS!$E$58)^(F4-ASS!$C$41)*F5/12</f>
        <v>0</v>
      </c>
      <c r="G41" s="170" t="n">
        <f aca="false">SUM(D41:F41)</f>
        <v>0</v>
      </c>
    </row>
    <row r="42" customFormat="false" ht="12.75" hidden="false" customHeight="false" outlineLevel="0" collapsed="false">
      <c r="A42" s="162" t="str">
        <f aca="false">ASS!A60</f>
        <v>Other</v>
      </c>
      <c r="B42" s="25"/>
      <c r="C42" s="25"/>
      <c r="D42" s="64" t="n">
        <f aca="false">ASS!$C$59*(1+ASS!$E$59)^(D4-ASS!$C$41)*D5/12</f>
        <v>0</v>
      </c>
      <c r="E42" s="64" t="n">
        <f aca="false">ASS!$C$59*(1+ASS!$E$59)^(E4-ASS!$C$41)*E5/12</f>
        <v>0</v>
      </c>
      <c r="F42" s="64" t="n">
        <f aca="false">ASS!$C$59*(1+ASS!$E$59)^(F4-ASS!$C$41)*F5/12</f>
        <v>0</v>
      </c>
      <c r="G42" s="170" t="n">
        <f aca="false">SUM(D42:F42)</f>
        <v>0</v>
      </c>
    </row>
    <row r="43" customFormat="false" ht="12.75" hidden="false" customHeight="false" outlineLevel="0" collapsed="false">
      <c r="A43" s="162" t="s">
        <v>187</v>
      </c>
      <c r="B43" s="25"/>
      <c r="C43" s="25"/>
      <c r="D43" s="64" t="n">
        <f aca="false">SUM(D40:D42)</f>
        <v>0</v>
      </c>
      <c r="E43" s="64" t="n">
        <f aca="false">SUM(E40:E42)</f>
        <v>0</v>
      </c>
      <c r="F43" s="64" t="n">
        <f aca="false">SUM(F40:F42)</f>
        <v>0</v>
      </c>
      <c r="G43" s="170" t="n">
        <f aca="false">SUM(D43:F43)</f>
        <v>0</v>
      </c>
    </row>
    <row r="44" customFormat="false" ht="12.75" hidden="false" customHeight="false" outlineLevel="0" collapsed="false">
      <c r="A44" s="162"/>
      <c r="B44" s="25"/>
      <c r="C44" s="25"/>
      <c r="D44" s="64"/>
      <c r="E44" s="64"/>
      <c r="F44" s="64"/>
      <c r="G44" s="170"/>
    </row>
    <row r="45" customFormat="false" ht="12.75" hidden="false" customHeight="false" outlineLevel="0" collapsed="false">
      <c r="A45" s="162" t="s">
        <v>188</v>
      </c>
      <c r="B45" s="25"/>
      <c r="C45" s="25"/>
      <c r="D45" s="64" t="n">
        <f aca="false">D37+D43</f>
        <v>48.96</v>
      </c>
      <c r="E45" s="64" t="n">
        <f aca="false">E37+E43</f>
        <v>49.9392</v>
      </c>
      <c r="F45" s="64" t="n">
        <f aca="false">F37+F43</f>
        <v>50.937984</v>
      </c>
      <c r="G45" s="170" t="n">
        <f aca="false">SUM(D45:F45)</f>
        <v>149.837184</v>
      </c>
    </row>
    <row r="46" customFormat="false" ht="12.75" hidden="false" customHeight="false" outlineLevel="0" collapsed="false">
      <c r="A46" s="162"/>
      <c r="B46" s="25"/>
      <c r="C46" s="25"/>
      <c r="D46" s="64"/>
      <c r="E46" s="64"/>
      <c r="F46" s="64"/>
      <c r="G46" s="170"/>
    </row>
    <row r="47" customFormat="false" ht="12.75" hidden="false" customHeight="false" outlineLevel="0" collapsed="false">
      <c r="A47" s="166" t="s">
        <v>189</v>
      </c>
      <c r="B47" s="80"/>
      <c r="C47" s="80"/>
      <c r="D47" s="171" t="n">
        <f aca="false">D45</f>
        <v>48.96</v>
      </c>
      <c r="E47" s="171" t="n">
        <f aca="false">E45</f>
        <v>49.9392</v>
      </c>
      <c r="F47" s="171" t="n">
        <f aca="false">F45</f>
        <v>50.937984</v>
      </c>
      <c r="G47" s="172" t="n">
        <f aca="false">G45</f>
        <v>149.837184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2.75" hidden="false" customHeight="false" outlineLevel="0" collapsed="false">
      <c r="A48" s="162"/>
      <c r="B48" s="25"/>
      <c r="C48" s="25"/>
      <c r="D48" s="25"/>
      <c r="E48" s="25"/>
      <c r="F48" s="25"/>
      <c r="G48" s="165"/>
    </row>
    <row r="49" customFormat="false" ht="12.75" hidden="false" customHeight="false" outlineLevel="0" collapsed="false">
      <c r="A49" s="166" t="s">
        <v>190</v>
      </c>
      <c r="B49" s="80"/>
      <c r="C49" s="171" t="s">
        <v>191</v>
      </c>
      <c r="D49" s="171" t="n">
        <f aca="false">D18-D47</f>
        <v>7051.04</v>
      </c>
      <c r="E49" s="171" t="n">
        <f aca="false">E18-E47</f>
        <v>6150.0608</v>
      </c>
      <c r="F49" s="171" t="n">
        <f aca="false">F18-F47</f>
        <v>5249.062016</v>
      </c>
      <c r="G49" s="172" t="n">
        <f aca="false">SUM(D49:F49)</f>
        <v>18450.162816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162" t="s">
        <v>192</v>
      </c>
      <c r="B50" s="25"/>
      <c r="C50" s="25"/>
      <c r="D50" s="177" t="n">
        <f aca="false">(DEPR!F27)</f>
        <v>456.140350877193</v>
      </c>
      <c r="E50" s="177" t="n">
        <f aca="false">DEPR!G27</f>
        <v>456.140350877193</v>
      </c>
      <c r="F50" s="177" t="n">
        <f aca="false">DEPR!H27</f>
        <v>456.140350877193</v>
      </c>
      <c r="G50" s="178" t="n">
        <f aca="false">SUM(D50:F50)</f>
        <v>1368.42105263158</v>
      </c>
      <c r="H50" s="179" t="str">
        <f aca="false">IF(ABS(-$G$50-ASS!$I$21)&lt;0.1," ","WARNING:  CHECK DEPRECIATION")</f>
        <v>WARNING:  CHECK DEPRECIATION</v>
      </c>
    </row>
    <row r="51" customFormat="false" ht="12.75" hidden="false" customHeight="false" outlineLevel="0" collapsed="false">
      <c r="A51" s="162"/>
      <c r="B51" s="25"/>
      <c r="C51" s="25"/>
      <c r="D51" s="64"/>
      <c r="E51" s="64"/>
      <c r="F51" s="64"/>
      <c r="G51" s="170"/>
      <c r="H51" s="0"/>
      <c r="I51" s="0"/>
    </row>
    <row r="52" customFormat="false" ht="12.75" hidden="false" customHeight="false" outlineLevel="0" collapsed="false">
      <c r="A52" s="166" t="s">
        <v>193</v>
      </c>
      <c r="B52" s="80"/>
      <c r="C52" s="80"/>
      <c r="D52" s="171" t="n">
        <f aca="false">D49-D50</f>
        <v>6594.89964912281</v>
      </c>
      <c r="E52" s="171" t="n">
        <f aca="false">E49-E50</f>
        <v>5693.92044912281</v>
      </c>
      <c r="F52" s="171" t="n">
        <f aca="false">F49-F50</f>
        <v>4792.92166512281</v>
      </c>
      <c r="G52" s="172" t="n">
        <f aca="false">SUM(D52:F52)</f>
        <v>17081.7417633684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A53" s="162" t="s">
        <v>194</v>
      </c>
      <c r="B53" s="25"/>
      <c r="C53" s="25"/>
      <c r="D53" s="180" t="n">
        <f aca="false">D52*ASS!V31</f>
        <v>0</v>
      </c>
      <c r="E53" s="180" t="n">
        <f aca="false">E52*ASS!V31</f>
        <v>0</v>
      </c>
      <c r="F53" s="180" t="n">
        <f aca="false">F52*ASS!V31</f>
        <v>0</v>
      </c>
      <c r="G53" s="170" t="n">
        <f aca="false">SUM(D53:F53)</f>
        <v>0</v>
      </c>
      <c r="H53" s="5"/>
    </row>
    <row r="54" customFormat="false" ht="12.75" hidden="false" customHeight="false" outlineLevel="0" collapsed="false">
      <c r="A54" s="162"/>
      <c r="B54" s="25"/>
      <c r="C54" s="25"/>
      <c r="D54" s="177"/>
      <c r="E54" s="177"/>
      <c r="F54" s="177"/>
      <c r="G54" s="178"/>
    </row>
    <row r="55" customFormat="false" ht="12.75" hidden="false" customHeight="false" outlineLevel="0" collapsed="false">
      <c r="A55" s="166" t="s">
        <v>195</v>
      </c>
      <c r="B55" s="80"/>
      <c r="C55" s="80"/>
      <c r="D55" s="171" t="n">
        <f aca="false">SUM(D52:D53)</f>
        <v>6594.89964912281</v>
      </c>
      <c r="E55" s="171" t="n">
        <f aca="false">SUM(E52:E53)</f>
        <v>5693.92044912281</v>
      </c>
      <c r="F55" s="171" t="n">
        <f aca="false">SUM(F52:F53)</f>
        <v>4792.92166512281</v>
      </c>
      <c r="G55" s="172" t="n">
        <f aca="false">SUM(D55:F55)</f>
        <v>17081.7417633684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2.75" hidden="false" customHeight="false" outlineLevel="0" collapsed="false">
      <c r="A56" s="162" t="s">
        <v>196</v>
      </c>
      <c r="B56" s="62"/>
      <c r="C56" s="25"/>
      <c r="D56" s="177" t="n">
        <f aca="false">TAXES_FEES!D14</f>
        <v>2625.416</v>
      </c>
      <c r="E56" s="177" t="n">
        <f aca="false">TAXES_FEES!E14</f>
        <v>2084.63632</v>
      </c>
      <c r="F56" s="177" t="n">
        <f aca="false">TAXES_FEES!F14</f>
        <v>1752.9408064</v>
      </c>
      <c r="G56" s="181" t="n">
        <f aca="false">SUM(D56:F56)</f>
        <v>6462.9931264</v>
      </c>
    </row>
    <row r="57" customFormat="false" ht="12.75" hidden="false" customHeight="false" outlineLevel="0" collapsed="false">
      <c r="A57" s="162"/>
      <c r="B57" s="25"/>
      <c r="C57" s="25"/>
      <c r="D57" s="64"/>
      <c r="E57" s="64"/>
      <c r="F57" s="64"/>
      <c r="G57" s="170"/>
    </row>
    <row r="58" customFormat="false" ht="12.75" hidden="false" customHeight="false" outlineLevel="0" collapsed="false">
      <c r="A58" s="182" t="s">
        <v>197</v>
      </c>
      <c r="B58" s="183"/>
      <c r="C58" s="183"/>
      <c r="D58" s="184" t="n">
        <f aca="false">SUM(D55:D56)</f>
        <v>9220.31564912281</v>
      </c>
      <c r="E58" s="184" t="n">
        <f aca="false">SUM(E55:E56)</f>
        <v>7778.55676912281</v>
      </c>
      <c r="F58" s="184" t="n">
        <f aca="false">SUM(F55:F56)</f>
        <v>6545.86247152281</v>
      </c>
      <c r="G58" s="185" t="n">
        <f aca="false">SUM(D58:F58)</f>
        <v>23544.7348897684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A59" s="162" t="s">
        <v>198</v>
      </c>
      <c r="B59" s="25"/>
      <c r="C59" s="25"/>
      <c r="D59" s="64" t="n">
        <f aca="false">DEPR!F27</f>
        <v>456.140350877193</v>
      </c>
      <c r="E59" s="64" t="n">
        <f aca="false">DEPR!G26</f>
        <v>456.140350877193</v>
      </c>
      <c r="F59" s="64" t="n">
        <f aca="false">DEPR!H26</f>
        <v>456.140350877193</v>
      </c>
      <c r="G59" s="170" t="n">
        <f aca="false">SUM(D59:F59)</f>
        <v>1368.42105263158</v>
      </c>
    </row>
    <row r="60" customFormat="false" ht="12.75" hidden="false" customHeight="false" outlineLevel="0" collapsed="false">
      <c r="A60" s="162" t="s">
        <v>199</v>
      </c>
      <c r="B60" s="25"/>
      <c r="C60" s="25"/>
      <c r="D60" s="64" t="n">
        <f aca="false">IF(D3=TERM,SPARES,0)</f>
        <v>0</v>
      </c>
      <c r="E60" s="64" t="n">
        <f aca="false">IF(E3=TERM,SPARES,0)</f>
        <v>0</v>
      </c>
      <c r="F60" s="64" t="n">
        <f aca="false">IF(F3=TERM,SPARES,0)</f>
        <v>0</v>
      </c>
      <c r="G60" s="170" t="n">
        <f aca="false">SUM(D60:F60)</f>
        <v>0</v>
      </c>
    </row>
    <row r="61" customFormat="false" ht="12.75" hidden="false" customHeight="false" outlineLevel="0" collapsed="false">
      <c r="A61" s="162" t="s">
        <v>200</v>
      </c>
      <c r="B61" s="25" t="s">
        <v>201</v>
      </c>
      <c r="C61" s="25"/>
      <c r="D61" s="64" t="n">
        <f aca="false">IF(D3=TERM,WCAP,0)</f>
        <v>0</v>
      </c>
      <c r="E61" s="64" t="n">
        <f aca="false">IF(E3=TERM,WCAP,0)</f>
        <v>0</v>
      </c>
      <c r="F61" s="64" t="n">
        <f aca="false">IF(F3=TERM,WCAP,0)</f>
        <v>0</v>
      </c>
      <c r="G61" s="170" t="n">
        <f aca="false">SUM(D61:F61)</f>
        <v>0</v>
      </c>
    </row>
    <row r="62" customFormat="false" ht="12.75" hidden="false" customHeight="false" outlineLevel="0" collapsed="false">
      <c r="A62" s="162" t="s">
        <v>202</v>
      </c>
      <c r="B62" s="25"/>
      <c r="C62" s="180"/>
      <c r="D62" s="64" t="n">
        <f aca="false">-D56</f>
        <v>-2625.416</v>
      </c>
      <c r="E62" s="64" t="n">
        <f aca="false">-E56</f>
        <v>-2084.63632</v>
      </c>
      <c r="F62" s="64" t="n">
        <f aca="false">-F56</f>
        <v>-1752.9408064</v>
      </c>
      <c r="G62" s="170" t="n">
        <f aca="false">SUM(D62:F62)</f>
        <v>-6462.9931264</v>
      </c>
    </row>
    <row r="63" customFormat="false" ht="12.75" hidden="false" customHeight="false" outlineLevel="0" collapsed="false">
      <c r="A63" s="162" t="s">
        <v>203</v>
      </c>
      <c r="B63" s="25"/>
      <c r="C63" s="180"/>
      <c r="D63" s="64" t="n">
        <f aca="false">-ASS!$C$57*(1+ASS!$E$57)^(D4-ASS!$C$41)*D5/12</f>
        <v>-0</v>
      </c>
      <c r="E63" s="64" t="n">
        <f aca="false">-ASS!$C$57*(1+ASS!$E$57)^(E4-ASS!$C$41)*E5/12</f>
        <v>-0</v>
      </c>
      <c r="F63" s="64" t="n">
        <f aca="false">-ASS!$C$57*(1+ASS!$E$57)^(F4-ASS!$C$41)*F5/12</f>
        <v>-0</v>
      </c>
      <c r="G63" s="170" t="n">
        <f aca="false">SUM(D63:F63)</f>
        <v>0</v>
      </c>
    </row>
    <row r="64" customFormat="false" ht="12.75" hidden="false" customHeight="false" outlineLevel="0" collapsed="false">
      <c r="A64" s="162" t="s">
        <v>204</v>
      </c>
      <c r="B64" s="25"/>
      <c r="C64" s="180"/>
      <c r="D64" s="64" t="n">
        <f aca="false">IF(-D63&gt;D40,D40,IF(D40&gt;(BS_IS!F7+(-D63)),BS_IS!F7+(-D63),D40))</f>
        <v>0</v>
      </c>
      <c r="E64" s="64" t="n">
        <f aca="false">IF(-E63&gt;E40,E40,IF(E40&gt;(BS_IS!G7+(-E63)),BS_IS!G7+(-E63),E40))</f>
        <v>0</v>
      </c>
      <c r="F64" s="64" t="n">
        <f aca="false">IF(-F63&gt;F40,F40,IF(F40&gt;(BS_IS!H7+(-F63)),BS_IS!H7+(-F63),F40))</f>
        <v>0</v>
      </c>
      <c r="G64" s="170" t="n">
        <f aca="false">SUM(D64:F64)</f>
        <v>0</v>
      </c>
    </row>
    <row r="65" customFormat="false" ht="12.75" hidden="false" customHeight="false" outlineLevel="0" collapsed="false">
      <c r="A65" s="162" t="s">
        <v>205</v>
      </c>
      <c r="B65" s="25"/>
      <c r="C65" s="25"/>
      <c r="D65" s="180" t="n">
        <f aca="false">TAXES_FEES!D14</f>
        <v>2625.416</v>
      </c>
      <c r="E65" s="180" t="n">
        <f aca="false">0+TAXES_FEES!E14</f>
        <v>2084.63632</v>
      </c>
      <c r="F65" s="180" t="n">
        <f aca="false">0+TAXES_FEES!F14</f>
        <v>1752.9408064</v>
      </c>
      <c r="G65" s="170" t="n">
        <f aca="false">SUM(D65:F65)</f>
        <v>6462.9931264</v>
      </c>
      <c r="H65" s="186" t="str">
        <f aca="false">IF(ABS(-G65-TAXES_FEES!$G$14)&lt;0.01," ","CHECK:  TOTAL CASH TAXES DOES NOT MATCH TOTAL CASH TAXES CALCD")</f>
        <v>CHECK:  TOTAL CASH TAXES DOES NOT MATCH TOTAL CASH TAXES CALCD</v>
      </c>
      <c r="I65" s="187"/>
    </row>
    <row r="66" customFormat="false" ht="12.75" hidden="false" customHeight="false" outlineLevel="0" collapsed="false">
      <c r="A66" s="162" t="s">
        <v>206</v>
      </c>
      <c r="B66" s="25"/>
      <c r="C66" s="25"/>
      <c r="D66" s="180" t="n">
        <f aca="false">ASS!V31*CF!D65</f>
        <v>0</v>
      </c>
      <c r="E66" s="180" t="n">
        <f aca="false">ASS!W31*CF!E65</f>
        <v>0</v>
      </c>
      <c r="F66" s="180" t="n">
        <f aca="false">ASS!X31*CF!F65</f>
        <v>0</v>
      </c>
      <c r="G66" s="170" t="n">
        <f aca="false">SUM(D66:F66)</f>
        <v>0</v>
      </c>
      <c r="H66" s="188"/>
      <c r="I66" s="187"/>
    </row>
    <row r="67" customFormat="false" ht="12.75" hidden="false" customHeight="false" outlineLevel="0" collapsed="false">
      <c r="A67" s="189" t="s">
        <v>207</v>
      </c>
      <c r="B67" s="190"/>
      <c r="C67" s="190"/>
      <c r="D67" s="191" t="n">
        <f aca="false">SUM(D58:D66)</f>
        <v>9676.456</v>
      </c>
      <c r="E67" s="191" t="n">
        <f aca="false">SUM(E58:E66)</f>
        <v>8234.69712</v>
      </c>
      <c r="F67" s="191" t="n">
        <f aca="false">SUM(F58:F66)</f>
        <v>7002.0028224</v>
      </c>
      <c r="G67" s="192" t="n">
        <f aca="false">SUM(G58:G66)</f>
        <v>24913.1559424</v>
      </c>
    </row>
    <row r="68" customFormat="false" ht="12.75" hidden="false" customHeight="false" outlineLevel="0" collapsed="false">
      <c r="A68" s="162"/>
      <c r="B68" s="25"/>
      <c r="C68" s="25"/>
      <c r="D68" s="25"/>
      <c r="E68" s="25"/>
      <c r="F68" s="25"/>
      <c r="G68" s="165"/>
    </row>
    <row r="69" customFormat="false" ht="12.75" hidden="false" customHeight="false" outlineLevel="0" collapsed="false">
      <c r="A69" s="193" t="s">
        <v>208</v>
      </c>
      <c r="B69" s="147" t="s">
        <v>209</v>
      </c>
      <c r="C69" s="147"/>
      <c r="D69" s="194" t="n">
        <f aca="false">IF(equityperc&gt;0.99,0,IF(D3&gt;MAX(#REF!,#REF!,#REF!,#REF!,#REF!,#REF!),"n/a",(D49+D40)/(FIN!D10-#REF!)))</f>
        <v>0</v>
      </c>
      <c r="E69" s="194" t="n">
        <f aca="false">IF(equityperc&gt;0.99,0,IF(E3&gt;MAX(#REF!,#REF!,#REF!,#REF!,#REF!,#REF!),"n/a",(E49+E40)/(FIN!E10-#REF!)))</f>
        <v>0</v>
      </c>
      <c r="F69" s="194" t="n">
        <f aca="false">IF(equityperc&gt;0.99,0,IF(F3&gt;MAX(#REF!,#REF!,#REF!,#REF!,#REF!,#REF!),"n/a",(F49+F40)/(FIN!F10-#REF!)))</f>
        <v>0</v>
      </c>
      <c r="G69" s="165"/>
    </row>
    <row r="70" customFormat="false" ht="12.75" hidden="false" customHeight="false" outlineLevel="0" collapsed="false">
      <c r="A70" s="144" t="s">
        <v>210</v>
      </c>
      <c r="B70" s="110" t="s">
        <v>211</v>
      </c>
      <c r="C70" s="110"/>
      <c r="D70" s="195" t="n">
        <f aca="false">IF(equityperc&gt;0.99,0,IF(D3&gt;MAX(#REF!,#REF!,#REF!,#REF!,#REF!,#REF!),"n/a",(D49+D65+D40)/(FIN!D10-#REF!)))</f>
        <v>0</v>
      </c>
      <c r="E70" s="195" t="n">
        <f aca="false">IF(equityperc&gt;0.99,0,IF(E3&gt;MAX(#REF!,#REF!,#REF!,#REF!,#REF!,#REF!),"n/a",(E49+E65+E40)/(FIN!E10-#REF!)))</f>
        <v>0</v>
      </c>
      <c r="F70" s="195" t="n">
        <f aca="false">IF(equityperc&gt;0.99,0,IF(F3&gt;MAX(#REF!,#REF!,#REF!,#REF!,#REF!,#REF!),"n/a",(F49+F65+F40)/(FIN!F10-#REF!)))</f>
        <v>0</v>
      </c>
      <c r="G70" s="161"/>
    </row>
    <row r="73" customFormat="false" ht="12.75" hidden="false" customHeight="false" outlineLevel="0" collapsed="false">
      <c r="A73" s="196"/>
      <c r="B73" s="196"/>
      <c r="C73" s="196"/>
      <c r="D73" s="196"/>
      <c r="E73" s="196"/>
      <c r="F73" s="196"/>
    </row>
    <row r="74" customFormat="false" ht="12.75" hidden="false" customHeight="false" outlineLevel="0" collapsed="false">
      <c r="B74" s="197"/>
      <c r="C74" s="197"/>
      <c r="D74" s="197"/>
      <c r="E74" s="197"/>
      <c r="F74" s="197"/>
    </row>
    <row r="80" customFormat="false" ht="12.75" hidden="false" customHeight="false" outlineLevel="0" collapsed="false">
      <c r="A80" s="198"/>
    </row>
    <row r="81" customFormat="false" ht="12.75" hidden="false" customHeight="false" outlineLevel="0" collapsed="false">
      <c r="A81" s="198"/>
    </row>
    <row r="82" customFormat="false" ht="12.75" hidden="false" customHeight="false" outlineLevel="0" collapsed="false">
      <c r="A82" s="198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5" activeCellId="0" sqref="B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false" hidden="false" outlineLevel="0" max="7" min="4" style="1" width="9.14"/>
    <col collapsed="false" customWidth="true" hidden="false" outlineLevel="0" max="8" min="8" style="1" width="9.85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212</v>
      </c>
      <c r="B1" s="199"/>
    </row>
    <row r="2" customFormat="false" ht="15.75" hidden="false" customHeight="false" outlineLevel="0" collapsed="false">
      <c r="A2" s="153" t="n">
        <f aca="false">ASS!A4</f>
        <v>0</v>
      </c>
      <c r="B2" s="200"/>
    </row>
    <row r="3" customFormat="false" ht="12.75" hidden="false" customHeight="false" outlineLevel="0" collapsed="false">
      <c r="A3" s="155" t="s">
        <v>213</v>
      </c>
      <c r="B3" s="156"/>
      <c r="C3" s="156"/>
      <c r="D3" s="156" t="n">
        <f aca="false">IF(D4&lt;STARTYR,0,#REF!+1)</f>
        <v>0</v>
      </c>
      <c r="E3" s="156" t="n">
        <f aca="false">IF(E4&lt;STARTYR,0,D3+1)</f>
        <v>1</v>
      </c>
      <c r="F3" s="156" t="n">
        <f aca="false">IF(F4&lt;STARTYR,0,E3+1)</f>
        <v>2</v>
      </c>
      <c r="G3" s="156" t="n">
        <f aca="false">IF(G4&lt;STARTYR,0,F3+1)</f>
        <v>3</v>
      </c>
      <c r="H3" s="157"/>
    </row>
    <row r="4" customFormat="false" ht="12.75" hidden="false" customHeight="false" outlineLevel="0" collapsed="false">
      <c r="A4" s="201" t="s">
        <v>170</v>
      </c>
      <c r="B4" s="110"/>
      <c r="C4" s="110"/>
      <c r="D4" s="112" t="n">
        <f aca="false">E4-1</f>
        <v>2000</v>
      </c>
      <c r="E4" s="112" t="n">
        <f aca="false">CF!D4</f>
        <v>2001</v>
      </c>
      <c r="F4" s="112" t="n">
        <f aca="false">CF!E4</f>
        <v>2002</v>
      </c>
      <c r="G4" s="112" t="n">
        <f aca="false">CF!F4</f>
        <v>2003</v>
      </c>
      <c r="H4" s="202" t="s">
        <v>171</v>
      </c>
    </row>
    <row r="5" customFormat="false" ht="12.75" hidden="false" customHeight="false" outlineLevel="0" collapsed="false">
      <c r="A5" s="162"/>
      <c r="B5" s="25"/>
      <c r="C5" s="25"/>
      <c r="D5" s="25"/>
      <c r="E5" s="25"/>
      <c r="F5" s="25"/>
      <c r="G5" s="25"/>
      <c r="H5" s="163"/>
    </row>
    <row r="6" customFormat="false" ht="12.75" hidden="false" customHeight="false" outlineLevel="0" collapsed="false">
      <c r="A6" s="203" t="s">
        <v>214</v>
      </c>
      <c r="B6" s="156"/>
      <c r="C6" s="156"/>
      <c r="D6" s="156"/>
      <c r="E6" s="156"/>
      <c r="F6" s="156"/>
      <c r="G6" s="156"/>
      <c r="H6" s="157"/>
    </row>
    <row r="7" customFormat="false" ht="12.75" hidden="false" customHeight="false" outlineLevel="0" collapsed="false">
      <c r="A7" s="162"/>
      <c r="B7" s="25" t="s">
        <v>215</v>
      </c>
      <c r="C7" s="25"/>
      <c r="D7" s="180" t="n">
        <f aca="false">-EQUITY</f>
        <v>-13000</v>
      </c>
      <c r="E7" s="204" t="n">
        <v>0</v>
      </c>
      <c r="F7" s="180" t="n">
        <f aca="false">E7</f>
        <v>0</v>
      </c>
      <c r="G7" s="180" t="n">
        <f aca="false">F7</f>
        <v>0</v>
      </c>
      <c r="H7" s="170" t="n">
        <f aca="false">SUM(D7:G7)</f>
        <v>-13000</v>
      </c>
      <c r="I7" s="5" t="str">
        <f aca="false">IF(ABS(H7+EQUITY)&lt;0.1," ","CHECK")</f>
        <v> </v>
      </c>
    </row>
    <row r="8" customFormat="false" ht="12.75" hidden="false" customHeight="false" outlineLevel="0" collapsed="false">
      <c r="A8" s="162"/>
      <c r="B8" s="25" t="s">
        <v>216</v>
      </c>
      <c r="C8" s="25"/>
      <c r="D8" s="205" t="n">
        <f aca="false">CF!C67</f>
        <v>0</v>
      </c>
      <c r="E8" s="205" t="n">
        <f aca="false">CF!D67</f>
        <v>9676.456</v>
      </c>
      <c r="F8" s="205" t="n">
        <f aca="false">CF!E67</f>
        <v>8234.69712</v>
      </c>
      <c r="G8" s="205" t="n">
        <f aca="false">CF!F67</f>
        <v>7002.0028224</v>
      </c>
      <c r="H8" s="178" t="n">
        <f aca="false">SUM(D8:G8)</f>
        <v>24913.1559424</v>
      </c>
      <c r="I8" s="5" t="str">
        <f aca="false">IF(ABS($H$8-CF!$G$67)&lt;0.01," ","CHECK:  DOES NOT EQUAL TOTAL CF DISTRIBUTED")</f>
        <v> </v>
      </c>
    </row>
    <row r="9" customFormat="false" ht="12.75" hidden="false" customHeight="false" outlineLevel="0" collapsed="false">
      <c r="A9" s="176"/>
      <c r="B9" s="25" t="s">
        <v>217</v>
      </c>
      <c r="C9" s="25"/>
      <c r="D9" s="206" t="n">
        <f aca="false">SUM(D7:D8)</f>
        <v>-13000</v>
      </c>
      <c r="E9" s="206" t="n">
        <f aca="false">SUM(E7:E8)</f>
        <v>9676.456</v>
      </c>
      <c r="F9" s="206" t="n">
        <f aca="false">SUM(F7:F8)</f>
        <v>8234.69712</v>
      </c>
      <c r="G9" s="206" t="n">
        <f aca="false">SUM(G7:G8)</f>
        <v>7002.0028224</v>
      </c>
      <c r="H9" s="207" t="n">
        <f aca="false">SUM(H7:H8)</f>
        <v>11913.1559424</v>
      </c>
      <c r="I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  <c r="IW9" s="208"/>
    </row>
    <row r="10" customFormat="false" ht="12.75" hidden="false" customHeight="false" outlineLevel="0" collapsed="false">
      <c r="A10" s="162"/>
      <c r="B10" s="25" t="s">
        <v>218</v>
      </c>
      <c r="C10" s="25"/>
      <c r="D10" s="64" t="n">
        <f aca="false">D9</f>
        <v>-13000</v>
      </c>
      <c r="E10" s="64" t="n">
        <f aca="false">$D$9+NPV(DISC,$E$9:E9)</f>
        <v>-4203.22181818182</v>
      </c>
      <c r="F10" s="64" t="n">
        <f aca="false">$D$9+NPV(DISC,$E$9:F9)</f>
        <v>2602.31299173554</v>
      </c>
      <c r="G10" s="64" t="n">
        <f aca="false">$D$9+NPV(DISC,$E$9:G9)</f>
        <v>7863.02134815928</v>
      </c>
      <c r="H10" s="170" t="n">
        <f aca="false">SUM(D10:G10)</f>
        <v>-6737.88747828701</v>
      </c>
    </row>
    <row r="11" customFormat="false" ht="12.75" hidden="false" customHeight="false" outlineLevel="0" collapsed="false">
      <c r="A11" s="162"/>
      <c r="B11" s="25" t="s">
        <v>219</v>
      </c>
      <c r="C11" s="25"/>
      <c r="D11" s="60" t="e">
        <f aca="false">IRR($D$9:D9,D13)</f>
        <v>#N/A</v>
      </c>
      <c r="E11" s="60" t="n">
        <f aca="false">IRR($D$9:E9,D13)</f>
        <v>-0.255657230769231</v>
      </c>
      <c r="F11" s="60" t="n">
        <f aca="false">IRR($D$9:F9,D13)</f>
        <v>0.25077811093071</v>
      </c>
      <c r="G11" s="60" t="n">
        <f aca="false">IRR($D$9:G9,D13)</f>
        <v>0.442390306573645</v>
      </c>
      <c r="H11" s="165"/>
    </row>
    <row r="12" customFormat="false" ht="13.5" hidden="false" customHeight="false" outlineLevel="0" collapsed="false">
      <c r="A12" s="162"/>
      <c r="B12" s="25"/>
      <c r="C12" s="25"/>
      <c r="D12" s="60"/>
      <c r="E12" s="60"/>
      <c r="F12" s="60"/>
      <c r="G12" s="60"/>
      <c r="H12" s="165"/>
    </row>
    <row r="13" customFormat="false" ht="12.75" hidden="false" customHeight="false" outlineLevel="0" collapsed="false">
      <c r="A13" s="162"/>
      <c r="B13" s="13" t="s">
        <v>220</v>
      </c>
      <c r="C13" s="14"/>
      <c r="D13" s="209" t="n">
        <f aca="false">DISC</f>
        <v>0.1</v>
      </c>
      <c r="E13" s="210"/>
      <c r="F13" s="210"/>
      <c r="G13" s="210"/>
      <c r="H13" s="211"/>
      <c r="I13" s="210"/>
      <c r="J13" s="25"/>
    </row>
    <row r="14" customFormat="false" ht="12.75" hidden="false" customHeight="false" outlineLevel="0" collapsed="false">
      <c r="A14" s="162"/>
      <c r="B14" s="30" t="s">
        <v>221</v>
      </c>
      <c r="C14" s="212"/>
      <c r="D14" s="213" t="n">
        <f aca="false">$D$9+NPV(DISC,$E$9:G9)</f>
        <v>7863.02134815928</v>
      </c>
      <c r="E14" s="171"/>
      <c r="F14" s="214"/>
      <c r="G14" s="215"/>
      <c r="H14" s="211"/>
      <c r="I14" s="210"/>
      <c r="J14" s="25"/>
    </row>
    <row r="15" customFormat="false" ht="12.75" hidden="false" customHeight="false" outlineLevel="0" collapsed="false">
      <c r="A15" s="162"/>
      <c r="B15" s="30" t="s">
        <v>222</v>
      </c>
      <c r="C15" s="25"/>
      <c r="D15" s="216" t="n">
        <f aca="false">IRR($D$9:G9,D13)</f>
        <v>0.442390306573645</v>
      </c>
      <c r="E15" s="217"/>
      <c r="F15" s="210"/>
      <c r="G15" s="210"/>
      <c r="H15" s="211"/>
      <c r="I15" s="210"/>
      <c r="J15" s="25"/>
    </row>
    <row r="16" customFormat="false" ht="13.5" hidden="false" customHeight="false" outlineLevel="0" collapsed="false">
      <c r="A16" s="144"/>
      <c r="B16" s="141" t="s">
        <v>223</v>
      </c>
      <c r="C16" s="47"/>
      <c r="D16" s="218" t="n">
        <f aca="false">MAX(F16:I16)</f>
        <v>1</v>
      </c>
      <c r="E16" s="219" t="n">
        <f aca="false">IF(AND(E10&gt;0,D10&lt;0),D3,0)</f>
        <v>0</v>
      </c>
      <c r="F16" s="219" t="n">
        <f aca="false">IF(AND(F10&gt;0,E10&lt;0),E3,0)</f>
        <v>1</v>
      </c>
      <c r="G16" s="219" t="n">
        <f aca="false">IF(AND(G10&gt;0,F10&lt;0),F3,0)</f>
        <v>0</v>
      </c>
      <c r="H16" s="220" t="n">
        <f aca="false">SUM(E16:G16)</f>
        <v>1</v>
      </c>
      <c r="I16" s="221"/>
      <c r="J16" s="25"/>
    </row>
    <row r="17" customFormat="false" ht="12.75" hidden="false" customHeight="false" outlineLevel="0" collapsed="false">
      <c r="A17" s="25"/>
      <c r="B17" s="25"/>
      <c r="C17" s="25"/>
      <c r="D17" s="210"/>
      <c r="E17" s="210"/>
      <c r="F17" s="210"/>
      <c r="G17" s="210"/>
      <c r="H17" s="210"/>
      <c r="I17" s="210"/>
      <c r="J17" s="210"/>
      <c r="K17" s="25"/>
    </row>
    <row r="18" customFormat="false" ht="12.7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customFormat="false" ht="12.75" hidden="false" customHeight="false" outlineLevel="0" collapsed="false">
      <c r="A19" s="203" t="s">
        <v>224</v>
      </c>
      <c r="B19" s="156"/>
      <c r="C19" s="222"/>
      <c r="D19" s="156"/>
      <c r="E19" s="156"/>
      <c r="F19" s="156"/>
      <c r="G19" s="156"/>
      <c r="H19" s="157"/>
    </row>
    <row r="20" customFormat="false" ht="12.75" hidden="false" customHeight="false" outlineLevel="0" collapsed="false">
      <c r="A20" s="223" t="n">
        <f aca="false">ASS!$I$26</f>
        <v>1</v>
      </c>
      <c r="B20" s="25" t="s">
        <v>215</v>
      </c>
      <c r="C20" s="25"/>
      <c r="D20" s="180" t="n">
        <f aca="false">-EQUITY</f>
        <v>-13000</v>
      </c>
      <c r="E20" s="224" t="n">
        <v>0</v>
      </c>
      <c r="F20" s="180" t="n">
        <f aca="false">E20</f>
        <v>0</v>
      </c>
      <c r="G20" s="64" t="n">
        <f aca="false">G7*$A$20</f>
        <v>0</v>
      </c>
      <c r="H20" s="170" t="n">
        <f aca="false">SUM(D20:G20)</f>
        <v>-13000</v>
      </c>
    </row>
    <row r="21" customFormat="false" ht="12.75" hidden="false" customHeight="false" outlineLevel="0" collapsed="false">
      <c r="A21" s="223" t="n">
        <f aca="false">ASS!$J$26</f>
        <v>1</v>
      </c>
      <c r="B21" s="25" t="s">
        <v>216</v>
      </c>
      <c r="C21" s="25"/>
      <c r="D21" s="205" t="n">
        <f aca="false">CF!C79</f>
        <v>0</v>
      </c>
      <c r="E21" s="205" t="n">
        <f aca="false">CF!D67</f>
        <v>9676.456</v>
      </c>
      <c r="F21" s="205" t="n">
        <f aca="false">CF!E67</f>
        <v>8234.69712</v>
      </c>
      <c r="G21" s="64" t="n">
        <f aca="false">G8*$A$21</f>
        <v>7002.0028224</v>
      </c>
      <c r="H21" s="170" t="n">
        <f aca="false">SUM(D21:G21)</f>
        <v>24913.1559424</v>
      </c>
    </row>
    <row r="22" customFormat="false" ht="12.75" hidden="false" customHeight="false" outlineLevel="0" collapsed="false">
      <c r="A22" s="225"/>
      <c r="B22" s="25" t="s">
        <v>217</v>
      </c>
      <c r="C22" s="25"/>
      <c r="D22" s="206" t="n">
        <f aca="false">SUM(D20:D21)</f>
        <v>-13000</v>
      </c>
      <c r="E22" s="206" t="n">
        <f aca="false">SUM(E20:E21)</f>
        <v>9676.456</v>
      </c>
      <c r="F22" s="206" t="n">
        <f aca="false">SUM(F20:F21)</f>
        <v>8234.69712</v>
      </c>
      <c r="G22" s="206" t="n">
        <f aca="false">SUM(G21)</f>
        <v>7002.0028224</v>
      </c>
      <c r="H22" s="207" t="n">
        <f aca="false">SUM(D22:G22)</f>
        <v>11913.1559424</v>
      </c>
      <c r="I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  <c r="IU22" s="226"/>
      <c r="IV22" s="226"/>
      <c r="IW22" s="226"/>
    </row>
    <row r="23" customFormat="false" ht="12.75" hidden="false" customHeight="false" outlineLevel="0" collapsed="false">
      <c r="A23" s="162"/>
      <c r="B23" s="25" t="s">
        <v>218</v>
      </c>
      <c r="C23" s="25"/>
      <c r="D23" s="64" t="n">
        <f aca="false">D22</f>
        <v>-13000</v>
      </c>
      <c r="E23" s="64" t="n">
        <f aca="false">$D$22+NPV(DISC,E$22:$E22)</f>
        <v>-4203.22181818182</v>
      </c>
      <c r="F23" s="64" t="n">
        <f aca="false">$D$9+NPV(DISC,$E$22:F22)</f>
        <v>2602.31299173554</v>
      </c>
      <c r="G23" s="64" t="n">
        <f aca="false">$D$22+NPV(DISC,$E$22:G22)</f>
        <v>7863.02134815928</v>
      </c>
      <c r="H23" s="170" t="n">
        <f aca="false">SUM(D23:G23)</f>
        <v>-6737.88747828701</v>
      </c>
    </row>
    <row r="24" customFormat="false" ht="12.75" hidden="false" customHeight="false" outlineLevel="0" collapsed="false">
      <c r="A24" s="162"/>
      <c r="B24" s="25" t="s">
        <v>219</v>
      </c>
      <c r="C24" s="25"/>
      <c r="D24" s="60" t="e">
        <f aca="false">IF(D22=0,0,IRR($D$22:D22))</f>
        <v>#N/A</v>
      </c>
      <c r="E24" s="60" t="n">
        <f aca="false">IRR($D$22:E22,D26)</f>
        <v>-0.255657230769231</v>
      </c>
      <c r="F24" s="60" t="n">
        <f aca="false">IRR($D$22:F22,D26)</f>
        <v>0.25077811093071</v>
      </c>
      <c r="G24" s="60" t="n">
        <f aca="false">IRR($D$9:G9,D26)</f>
        <v>0.442390306573645</v>
      </c>
      <c r="H24" s="165"/>
    </row>
    <row r="25" customFormat="false" ht="13.5" hidden="false" customHeight="false" outlineLevel="0" collapsed="false">
      <c r="A25" s="162"/>
      <c r="B25" s="25"/>
      <c r="C25" s="25"/>
      <c r="D25" s="60"/>
      <c r="E25" s="60"/>
      <c r="F25" s="60"/>
      <c r="G25" s="60"/>
      <c r="H25" s="165"/>
    </row>
    <row r="26" customFormat="false" ht="12.75" hidden="false" customHeight="false" outlineLevel="0" collapsed="false">
      <c r="A26" s="162"/>
      <c r="B26" s="13" t="s">
        <v>220</v>
      </c>
      <c r="C26" s="14"/>
      <c r="D26" s="209" t="n">
        <f aca="false">DISC</f>
        <v>0.1</v>
      </c>
      <c r="E26" s="210"/>
      <c r="F26" s="210"/>
      <c r="G26" s="210"/>
      <c r="H26" s="165"/>
    </row>
    <row r="27" customFormat="false" ht="12.75" hidden="false" customHeight="false" outlineLevel="0" collapsed="false">
      <c r="A27" s="162"/>
      <c r="B27" s="30" t="s">
        <v>225</v>
      </c>
      <c r="C27" s="212"/>
      <c r="D27" s="213" t="n">
        <f aca="false">$D$22+NPV(DISC,$E$22:G22)</f>
        <v>7863.02134815928</v>
      </c>
      <c r="E27" s="171"/>
      <c r="F27" s="210"/>
      <c r="G27" s="210"/>
      <c r="H27" s="165"/>
    </row>
    <row r="28" customFormat="false" ht="12.75" hidden="false" customHeight="false" outlineLevel="0" collapsed="false">
      <c r="A28" s="162"/>
      <c r="B28" s="30" t="s">
        <v>226</v>
      </c>
      <c r="C28" s="80"/>
      <c r="D28" s="216" t="n">
        <f aca="false">IRR($D$9:G9,D13)</f>
        <v>0.442390306573645</v>
      </c>
      <c r="E28" s="217"/>
      <c r="F28" s="210"/>
      <c r="G28" s="210"/>
      <c r="H28" s="165"/>
    </row>
    <row r="29" customFormat="false" ht="13.5" hidden="false" customHeight="false" outlineLevel="0" collapsed="false">
      <c r="A29" s="144"/>
      <c r="B29" s="141" t="s">
        <v>223</v>
      </c>
      <c r="C29" s="142"/>
      <c r="D29" s="227" t="n">
        <f aca="false">MAX(F29:G29)</f>
        <v>1</v>
      </c>
      <c r="E29" s="228" t="n">
        <f aca="false">IF(AND(E23&gt;0,C23&lt;0),D3,0)</f>
        <v>0</v>
      </c>
      <c r="F29" s="229" t="n">
        <f aca="false">IF(AND(F23&gt;0,D23&lt;0),E3,0)</f>
        <v>1</v>
      </c>
      <c r="G29" s="219" t="n">
        <f aca="false">IF(AND(G23&gt;0,F23&lt;0),F3,0)</f>
        <v>0</v>
      </c>
      <c r="H29" s="220" t="n">
        <f aca="false">SUM(E29:G29)</f>
        <v>1</v>
      </c>
    </row>
    <row r="30" customFormat="false" ht="12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customFormat="false" ht="12.7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customFormat="false" ht="12.75" hidden="false" customHeight="false" outlineLevel="0" collapsed="false">
      <c r="A32" s="230"/>
      <c r="B32" s="25"/>
      <c r="C32" s="80"/>
      <c r="D32" s="25"/>
      <c r="E32" s="25"/>
      <c r="F32" s="25"/>
      <c r="G32" s="25"/>
      <c r="H32" s="25"/>
      <c r="I32" s="25"/>
      <c r="J32" s="25"/>
      <c r="K32" s="25"/>
    </row>
    <row r="33" customFormat="false" ht="12.75" hidden="false" customHeight="false" outlineLevel="0" collapsed="false">
      <c r="A33" s="41"/>
      <c r="B33" s="25"/>
      <c r="C33" s="25"/>
      <c r="D33" s="64"/>
      <c r="E33" s="64"/>
      <c r="F33" s="64"/>
      <c r="G33" s="64"/>
      <c r="H33" s="64"/>
      <c r="I33" s="64"/>
      <c r="J33" s="64"/>
      <c r="K33" s="64"/>
    </row>
    <row r="34" customFormat="false" ht="12.75" hidden="false" customHeight="false" outlineLevel="0" collapsed="false">
      <c r="A34" s="41"/>
      <c r="B34" s="25"/>
      <c r="C34" s="25"/>
      <c r="D34" s="64"/>
      <c r="E34" s="64"/>
      <c r="F34" s="64"/>
      <c r="G34" s="64"/>
      <c r="H34" s="64"/>
      <c r="I34" s="64"/>
      <c r="J34" s="64"/>
      <c r="K34" s="64"/>
    </row>
    <row r="35" customFormat="false" ht="12.75" hidden="false" customHeight="false" outlineLevel="0" collapsed="false">
      <c r="A35" s="231"/>
      <c r="B35" s="25"/>
      <c r="C35" s="25"/>
      <c r="D35" s="177"/>
      <c r="E35" s="177"/>
      <c r="F35" s="177"/>
      <c r="G35" s="177"/>
      <c r="H35" s="177"/>
      <c r="I35" s="177"/>
      <c r="J35" s="177"/>
      <c r="K35" s="177"/>
      <c r="L35" s="208"/>
      <c r="N35" s="208"/>
      <c r="O35" s="208"/>
      <c r="P35" s="232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/>
      <c r="FA35" s="208"/>
      <c r="FB35" s="208"/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8"/>
      <c r="GL35" s="208"/>
      <c r="GM35" s="208"/>
      <c r="GN35" s="208"/>
      <c r="GO35" s="208"/>
      <c r="GP35" s="208"/>
      <c r="GQ35" s="208"/>
      <c r="GR35" s="208"/>
      <c r="GS35" s="208"/>
      <c r="GT35" s="208"/>
      <c r="GU35" s="208"/>
      <c r="GV35" s="208"/>
      <c r="GW35" s="208"/>
      <c r="GX35" s="208"/>
      <c r="GY35" s="208"/>
      <c r="GZ35" s="208"/>
      <c r="HA35" s="208"/>
      <c r="HB35" s="208"/>
      <c r="HC35" s="208"/>
      <c r="HD35" s="208"/>
      <c r="HE35" s="208"/>
      <c r="HF35" s="208"/>
      <c r="HG35" s="208"/>
      <c r="HH35" s="208"/>
      <c r="HI35" s="208"/>
      <c r="HJ35" s="208"/>
      <c r="HK35" s="208"/>
      <c r="HL35" s="208"/>
      <c r="HM35" s="208"/>
      <c r="HN35" s="208"/>
      <c r="HO35" s="208"/>
      <c r="HP35" s="208"/>
      <c r="HQ35" s="208"/>
      <c r="HR35" s="208"/>
      <c r="HS35" s="208"/>
      <c r="HT35" s="208"/>
      <c r="HU35" s="208"/>
      <c r="HV35" s="208"/>
      <c r="HW35" s="208"/>
      <c r="HX35" s="208"/>
      <c r="HY35" s="208"/>
      <c r="HZ35" s="208"/>
      <c r="IA35" s="208"/>
      <c r="IB35" s="208"/>
      <c r="IC35" s="208"/>
      <c r="ID35" s="208"/>
      <c r="IE35" s="208"/>
      <c r="IF35" s="208"/>
      <c r="IG35" s="208"/>
      <c r="IH35" s="208"/>
      <c r="II35" s="208"/>
      <c r="IJ35" s="208"/>
      <c r="IK35" s="208"/>
      <c r="IL35" s="208"/>
      <c r="IM35" s="208"/>
      <c r="IN35" s="208"/>
      <c r="IO35" s="208"/>
      <c r="IP35" s="208"/>
      <c r="IQ35" s="208"/>
      <c r="IR35" s="208"/>
      <c r="IS35" s="208"/>
      <c r="IT35" s="208"/>
      <c r="IU35" s="208"/>
      <c r="IV35" s="208"/>
      <c r="IW35" s="208"/>
    </row>
    <row r="36" customFormat="false" ht="12.75" hidden="false" customHeight="false" outlineLevel="0" collapsed="false">
      <c r="A36" s="233"/>
      <c r="B36" s="25"/>
      <c r="C36" s="25"/>
      <c r="D36" s="206"/>
      <c r="E36" s="206"/>
      <c r="F36" s="206"/>
      <c r="G36" s="206"/>
      <c r="H36" s="206"/>
      <c r="I36" s="206"/>
      <c r="J36" s="206"/>
      <c r="K36" s="206"/>
      <c r="L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  <c r="IU36" s="226"/>
      <c r="IV36" s="226"/>
      <c r="IW36" s="226"/>
    </row>
    <row r="37" customFormat="false" ht="12.75" hidden="false" customHeight="false" outlineLevel="0" collapsed="false">
      <c r="A37" s="43"/>
      <c r="B37" s="25"/>
      <c r="C37" s="25"/>
      <c r="D37" s="64"/>
      <c r="E37" s="64"/>
      <c r="F37" s="64"/>
      <c r="G37" s="64"/>
      <c r="H37" s="64"/>
      <c r="I37" s="64"/>
      <c r="J37" s="64"/>
      <c r="K37" s="64"/>
    </row>
    <row r="38" customFormat="false" ht="12.75" hidden="false" customHeight="false" outlineLevel="0" collapsed="false">
      <c r="A38" s="43"/>
      <c r="B38" s="25"/>
      <c r="C38" s="25"/>
      <c r="D38" s="60"/>
      <c r="E38" s="60"/>
      <c r="F38" s="60"/>
      <c r="G38" s="60"/>
      <c r="H38" s="60"/>
      <c r="I38" s="60"/>
      <c r="J38" s="60"/>
      <c r="K38" s="25"/>
    </row>
    <row r="39" customFormat="false" ht="12.75" hidden="false" customHeight="false" outlineLevel="0" collapsed="false">
      <c r="A39" s="43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customFormat="false" ht="12.75" hidden="false" customHeight="false" outlineLevel="0" collapsed="false">
      <c r="A40" s="43"/>
      <c r="B40" s="80"/>
      <c r="C40" s="212"/>
      <c r="D40" s="171"/>
      <c r="E40" s="171"/>
      <c r="F40" s="25"/>
      <c r="G40" s="25"/>
      <c r="H40" s="25"/>
      <c r="I40" s="25"/>
      <c r="J40" s="25"/>
      <c r="K40" s="25"/>
    </row>
    <row r="41" customFormat="false" ht="12.75" hidden="false" customHeight="false" outlineLevel="0" collapsed="false">
      <c r="A41" s="43"/>
      <c r="B41" s="80"/>
      <c r="C41" s="80"/>
      <c r="D41" s="217"/>
      <c r="E41" s="217"/>
      <c r="F41" s="25"/>
      <c r="G41" s="25"/>
      <c r="H41" s="25"/>
      <c r="I41" s="25"/>
      <c r="J41" s="25"/>
      <c r="K41" s="25"/>
    </row>
    <row r="42" customFormat="false" ht="12.75" hidden="false" customHeight="false" outlineLevel="0" collapsed="false">
      <c r="A42" s="43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customFormat="false" ht="12.75" hidden="false" customHeight="false" outlineLevel="0" collapsed="false">
      <c r="A43" s="43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customFormat="false" ht="12.75" hidden="false" customHeight="false" outlineLevel="0" collapsed="false">
      <c r="A44" s="230"/>
      <c r="B44" s="25"/>
      <c r="C44" s="80"/>
      <c r="D44" s="25"/>
      <c r="E44" s="25"/>
      <c r="F44" s="25"/>
      <c r="G44" s="25"/>
      <c r="H44" s="25"/>
      <c r="I44" s="25"/>
      <c r="J44" s="25"/>
      <c r="K44" s="25"/>
    </row>
    <row r="45" customFormat="false" ht="12.75" hidden="false" customHeight="false" outlineLevel="0" collapsed="false">
      <c r="A45" s="41"/>
      <c r="B45" s="25"/>
      <c r="C45" s="25"/>
      <c r="D45" s="64"/>
      <c r="E45" s="64"/>
      <c r="F45" s="64"/>
      <c r="G45" s="64"/>
      <c r="H45" s="64"/>
      <c r="I45" s="64"/>
      <c r="J45" s="64"/>
      <c r="K45" s="64"/>
    </row>
    <row r="46" customFormat="false" ht="12.75" hidden="false" customHeight="false" outlineLevel="0" collapsed="false">
      <c r="A46" s="41"/>
      <c r="B46" s="25"/>
      <c r="C46" s="25"/>
      <c r="D46" s="64"/>
      <c r="E46" s="64"/>
      <c r="F46" s="64"/>
      <c r="G46" s="64"/>
      <c r="H46" s="64"/>
      <c r="I46" s="64"/>
      <c r="J46" s="64"/>
      <c r="K46" s="64"/>
    </row>
    <row r="47" customFormat="false" ht="12.75" hidden="false" customHeight="false" outlineLevel="0" collapsed="false">
      <c r="A47" s="231"/>
      <c r="B47" s="25"/>
      <c r="C47" s="25"/>
      <c r="D47" s="177"/>
      <c r="E47" s="177"/>
      <c r="F47" s="177"/>
      <c r="G47" s="177"/>
      <c r="H47" s="177"/>
      <c r="I47" s="177"/>
      <c r="J47" s="177"/>
      <c r="K47" s="177"/>
      <c r="L47" s="208"/>
      <c r="N47" s="208"/>
      <c r="O47" s="208"/>
      <c r="P47" s="232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8"/>
      <c r="CS47" s="208"/>
      <c r="CT47" s="208"/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/>
      <c r="FA47" s="208"/>
      <c r="FB47" s="208"/>
      <c r="FC47" s="208"/>
      <c r="FD47" s="208"/>
      <c r="FE47" s="208"/>
      <c r="FF47" s="208"/>
      <c r="FG47" s="208"/>
      <c r="FH47" s="208"/>
      <c r="FI47" s="208"/>
      <c r="FJ47" s="208"/>
      <c r="FK47" s="208"/>
      <c r="FL47" s="208"/>
      <c r="FM47" s="208"/>
      <c r="FN47" s="208"/>
      <c r="FO47" s="208"/>
      <c r="FP47" s="208"/>
      <c r="FQ47" s="208"/>
      <c r="FR47" s="208"/>
      <c r="FS47" s="208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8"/>
      <c r="GK47" s="208"/>
      <c r="GL47" s="208"/>
      <c r="GM47" s="208"/>
      <c r="GN47" s="208"/>
      <c r="GO47" s="208"/>
      <c r="GP47" s="208"/>
      <c r="GQ47" s="208"/>
      <c r="GR47" s="208"/>
      <c r="GS47" s="208"/>
      <c r="GT47" s="208"/>
      <c r="GU47" s="208"/>
      <c r="GV47" s="208"/>
      <c r="GW47" s="208"/>
      <c r="GX47" s="208"/>
      <c r="GY47" s="208"/>
      <c r="GZ47" s="208"/>
      <c r="HA47" s="208"/>
      <c r="HB47" s="208"/>
      <c r="HC47" s="208"/>
      <c r="HD47" s="208"/>
      <c r="HE47" s="208"/>
      <c r="HF47" s="208"/>
      <c r="HG47" s="208"/>
      <c r="HH47" s="208"/>
      <c r="HI47" s="208"/>
      <c r="HJ47" s="208"/>
      <c r="HK47" s="208"/>
      <c r="HL47" s="208"/>
      <c r="HM47" s="208"/>
      <c r="HN47" s="208"/>
      <c r="HO47" s="208"/>
      <c r="HP47" s="208"/>
      <c r="HQ47" s="208"/>
      <c r="HR47" s="208"/>
      <c r="HS47" s="208"/>
      <c r="HT47" s="208"/>
      <c r="HU47" s="208"/>
      <c r="HV47" s="208"/>
      <c r="HW47" s="208"/>
      <c r="HX47" s="208"/>
      <c r="HY47" s="208"/>
      <c r="HZ47" s="208"/>
      <c r="IA47" s="208"/>
      <c r="IB47" s="208"/>
      <c r="IC47" s="208"/>
      <c r="ID47" s="208"/>
      <c r="IE47" s="208"/>
      <c r="IF47" s="208"/>
      <c r="IG47" s="208"/>
      <c r="IH47" s="208"/>
      <c r="II47" s="208"/>
      <c r="IJ47" s="208"/>
      <c r="IK47" s="208"/>
      <c r="IL47" s="208"/>
      <c r="IM47" s="208"/>
      <c r="IN47" s="208"/>
      <c r="IO47" s="208"/>
      <c r="IP47" s="208"/>
      <c r="IQ47" s="208"/>
      <c r="IR47" s="208"/>
      <c r="IS47" s="208"/>
      <c r="IT47" s="208"/>
      <c r="IU47" s="208"/>
      <c r="IV47" s="208"/>
      <c r="IW47" s="208"/>
    </row>
    <row r="48" customFormat="false" ht="12.75" hidden="false" customHeight="false" outlineLevel="0" collapsed="false">
      <c r="A48" s="233"/>
      <c r="B48" s="25"/>
      <c r="C48" s="25"/>
      <c r="D48" s="206"/>
      <c r="E48" s="206"/>
      <c r="F48" s="206"/>
      <c r="G48" s="206"/>
      <c r="H48" s="206"/>
      <c r="I48" s="206"/>
      <c r="J48" s="206"/>
      <c r="K48" s="206"/>
      <c r="L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26"/>
      <c r="DB48" s="226"/>
      <c r="DC48" s="226"/>
      <c r="DD48" s="226"/>
      <c r="DE48" s="226"/>
      <c r="DF48" s="226"/>
      <c r="DG48" s="226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6"/>
      <c r="EL48" s="226"/>
      <c r="EM48" s="226"/>
      <c r="EN48" s="226"/>
      <c r="EO48" s="226"/>
      <c r="EP48" s="226"/>
      <c r="EQ48" s="226"/>
      <c r="ER48" s="226"/>
      <c r="ES48" s="226"/>
      <c r="ET48" s="226"/>
      <c r="EU48" s="226"/>
      <c r="EV48" s="226"/>
      <c r="EW48" s="226"/>
      <c r="EX48" s="226"/>
      <c r="EY48" s="226"/>
      <c r="EZ48" s="226"/>
      <c r="FA48" s="226"/>
      <c r="FB48" s="226"/>
      <c r="FC48" s="226"/>
      <c r="FD48" s="226"/>
      <c r="FE48" s="226"/>
      <c r="FF48" s="226"/>
      <c r="FG48" s="226"/>
      <c r="FH48" s="226"/>
      <c r="FI48" s="226"/>
      <c r="FJ48" s="226"/>
      <c r="FK48" s="226"/>
      <c r="FL48" s="226"/>
      <c r="FM48" s="226"/>
      <c r="FN48" s="226"/>
      <c r="FO48" s="226"/>
      <c r="FP48" s="226"/>
      <c r="FQ48" s="226"/>
      <c r="FR48" s="226"/>
      <c r="FS48" s="226"/>
      <c r="FT48" s="226"/>
      <c r="FU48" s="226"/>
      <c r="FV48" s="226"/>
      <c r="FW48" s="226"/>
      <c r="FX48" s="226"/>
      <c r="FY48" s="226"/>
      <c r="FZ48" s="226"/>
      <c r="GA48" s="226"/>
      <c r="GB48" s="226"/>
      <c r="GC48" s="226"/>
      <c r="GD48" s="226"/>
      <c r="GE48" s="226"/>
      <c r="GF48" s="226"/>
      <c r="GG48" s="226"/>
      <c r="GH48" s="226"/>
      <c r="GI48" s="226"/>
      <c r="GJ48" s="226"/>
      <c r="GK48" s="226"/>
      <c r="GL48" s="226"/>
      <c r="GM48" s="226"/>
      <c r="GN48" s="226"/>
      <c r="GO48" s="226"/>
      <c r="GP48" s="226"/>
      <c r="GQ48" s="226"/>
      <c r="GR48" s="226"/>
      <c r="GS48" s="226"/>
      <c r="GT48" s="226"/>
      <c r="GU48" s="226"/>
      <c r="GV48" s="226"/>
      <c r="GW48" s="226"/>
      <c r="GX48" s="226"/>
      <c r="GY48" s="226"/>
      <c r="GZ48" s="226"/>
      <c r="HA48" s="226"/>
      <c r="HB48" s="226"/>
      <c r="HC48" s="226"/>
      <c r="HD48" s="226"/>
      <c r="HE48" s="226"/>
      <c r="HF48" s="226"/>
      <c r="HG48" s="226"/>
      <c r="HH48" s="226"/>
      <c r="HI48" s="226"/>
      <c r="HJ48" s="226"/>
      <c r="HK48" s="226"/>
      <c r="HL48" s="226"/>
      <c r="HM48" s="226"/>
      <c r="HN48" s="226"/>
      <c r="HO48" s="226"/>
      <c r="HP48" s="226"/>
      <c r="HQ48" s="226"/>
      <c r="HR48" s="226"/>
      <c r="HS48" s="226"/>
      <c r="HT48" s="226"/>
      <c r="HU48" s="226"/>
      <c r="HV48" s="226"/>
      <c r="HW48" s="226"/>
      <c r="HX48" s="226"/>
      <c r="HY48" s="226"/>
      <c r="HZ48" s="226"/>
      <c r="IA48" s="226"/>
      <c r="IB48" s="226"/>
      <c r="IC48" s="226"/>
      <c r="ID48" s="226"/>
      <c r="IE48" s="226"/>
      <c r="IF48" s="226"/>
      <c r="IG48" s="226"/>
      <c r="IH48" s="226"/>
      <c r="II48" s="226"/>
      <c r="IJ48" s="226"/>
      <c r="IK48" s="226"/>
      <c r="IL48" s="226"/>
      <c r="IM48" s="226"/>
      <c r="IN48" s="226"/>
      <c r="IO48" s="226"/>
      <c r="IP48" s="226"/>
      <c r="IQ48" s="226"/>
      <c r="IR48" s="226"/>
      <c r="IS48" s="226"/>
      <c r="IT48" s="226"/>
      <c r="IU48" s="226"/>
      <c r="IV48" s="226"/>
      <c r="IW48" s="226"/>
    </row>
    <row r="49" customFormat="false" ht="12.75" hidden="false" customHeight="false" outlineLevel="0" collapsed="false">
      <c r="A49" s="43"/>
      <c r="B49" s="25"/>
      <c r="C49" s="25"/>
      <c r="D49" s="64"/>
      <c r="E49" s="64"/>
      <c r="F49" s="64"/>
      <c r="G49" s="64"/>
      <c r="H49" s="64"/>
      <c r="I49" s="64"/>
      <c r="J49" s="64"/>
      <c r="K49" s="64"/>
    </row>
    <row r="50" customFormat="false" ht="12.75" hidden="false" customHeight="false" outlineLevel="0" collapsed="false">
      <c r="A50" s="43"/>
      <c r="B50" s="25"/>
      <c r="C50" s="25"/>
      <c r="D50" s="60"/>
      <c r="E50" s="60"/>
      <c r="F50" s="60"/>
      <c r="G50" s="60"/>
      <c r="H50" s="60"/>
      <c r="I50" s="60"/>
      <c r="J50" s="60"/>
      <c r="K50" s="25"/>
    </row>
    <row r="51" customFormat="false" ht="12.7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customFormat="false" ht="12.75" hidden="false" customHeight="false" outlineLevel="0" collapsed="false">
      <c r="A52" s="25"/>
      <c r="B52" s="22"/>
      <c r="C52" s="212"/>
      <c r="D52" s="234"/>
      <c r="E52" s="234"/>
      <c r="F52" s="25"/>
      <c r="G52" s="25"/>
      <c r="H52" s="25"/>
      <c r="I52" s="25"/>
      <c r="J52" s="25"/>
      <c r="K52" s="25"/>
    </row>
    <row r="53" customFormat="false" ht="12.75" hidden="false" customHeight="false" outlineLevel="0" collapsed="false">
      <c r="A53" s="25"/>
      <c r="B53" s="22"/>
      <c r="C53" s="22"/>
      <c r="D53" s="235"/>
      <c r="E53" s="235"/>
      <c r="F53" s="25"/>
      <c r="G53" s="25"/>
      <c r="H53" s="25"/>
      <c r="I53" s="25"/>
      <c r="J53" s="25"/>
      <c r="K53" s="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227</v>
      </c>
      <c r="B1" s="236"/>
      <c r="C1" s="199"/>
    </row>
    <row r="2" customFormat="false" ht="15.75" hidden="false" customHeight="false" outlineLevel="0" collapsed="false">
      <c r="A2" s="153" t="n">
        <f aca="false">ASS!A4</f>
        <v>0</v>
      </c>
      <c r="B2" s="58"/>
      <c r="C2" s="200"/>
    </row>
    <row r="3" customFormat="false" ht="12.75" hidden="false" customHeight="false" outlineLevel="0" collapsed="false">
      <c r="B3" s="237" t="s">
        <v>228</v>
      </c>
      <c r="C3" s="147"/>
      <c r="D3" s="238" t="n">
        <f aca="false">COST</f>
        <v>13000</v>
      </c>
    </row>
    <row r="4" customFormat="false" ht="12.75" hidden="false" customHeight="false" outlineLevel="0" collapsed="false">
      <c r="B4" s="162"/>
      <c r="E4" s="239" t="s">
        <v>229</v>
      </c>
      <c r="F4" s="239"/>
      <c r="G4" s="239"/>
    </row>
    <row r="5" customFormat="false" ht="12.75" hidden="false" customHeight="false" outlineLevel="0" collapsed="false">
      <c r="B5" s="157"/>
      <c r="C5" s="156"/>
      <c r="D5" s="240"/>
      <c r="E5" s="241" t="s">
        <v>230</v>
      </c>
      <c r="F5" s="242" t="s">
        <v>230</v>
      </c>
      <c r="G5" s="243" t="s">
        <v>231</v>
      </c>
    </row>
    <row r="6" customFormat="false" ht="12.75" hidden="false" customHeight="false" outlineLevel="0" collapsed="false">
      <c r="B6" s="165"/>
      <c r="C6" s="23" t="s">
        <v>232</v>
      </c>
      <c r="D6" s="163"/>
      <c r="E6" s="244" t="s">
        <v>233</v>
      </c>
      <c r="F6" s="23" t="s">
        <v>234</v>
      </c>
      <c r="G6" s="245" t="s">
        <v>234</v>
      </c>
    </row>
    <row r="7" customFormat="false" ht="12.75" hidden="false" customHeight="false" outlineLevel="0" collapsed="false">
      <c r="B7" s="246" t="s">
        <v>235</v>
      </c>
      <c r="C7" s="247" t="s">
        <v>236</v>
      </c>
      <c r="D7" s="163"/>
      <c r="E7" s="248" t="s">
        <v>237</v>
      </c>
      <c r="F7" s="31" t="s">
        <v>238</v>
      </c>
      <c r="G7" s="249" t="s">
        <v>238</v>
      </c>
    </row>
    <row r="8" customFormat="false" ht="12.75" hidden="false" customHeight="false" outlineLevel="0" collapsed="false">
      <c r="A8" s="250" t="n">
        <v>1</v>
      </c>
      <c r="B8" s="251" t="n">
        <v>36739</v>
      </c>
      <c r="C8" s="1" t="s">
        <v>239</v>
      </c>
      <c r="D8" s="163"/>
      <c r="E8" s="252" t="n">
        <f aca="false">ASS!U46</f>
        <v>0.031</v>
      </c>
      <c r="F8" s="253" t="n">
        <f aca="false">E8*$D$3</f>
        <v>403</v>
      </c>
      <c r="G8" s="254" t="n">
        <f aca="false">F8</f>
        <v>403</v>
      </c>
    </row>
    <row r="9" customFormat="false" ht="12.75" hidden="false" customHeight="false" outlineLevel="0" collapsed="false">
      <c r="A9" s="1" t="n">
        <f aca="false">A8+1</f>
        <v>2</v>
      </c>
      <c r="B9" s="251" t="n">
        <v>36770</v>
      </c>
      <c r="C9" s="25" t="s">
        <v>240</v>
      </c>
      <c r="D9" s="163"/>
      <c r="E9" s="252" t="n">
        <f aca="false">ASS!U47</f>
        <v>0.205</v>
      </c>
      <c r="F9" s="253" t="n">
        <f aca="false">E9*$D$3</f>
        <v>2665</v>
      </c>
      <c r="G9" s="254" t="n">
        <f aca="false">F9+G8</f>
        <v>3068</v>
      </c>
    </row>
    <row r="10" customFormat="false" ht="12.75" hidden="false" customHeight="false" outlineLevel="0" collapsed="false">
      <c r="A10" s="1" t="n">
        <f aca="false">A9+1</f>
        <v>3</v>
      </c>
      <c r="B10" s="251" t="n">
        <v>36800</v>
      </c>
      <c r="C10" s="1" t="s">
        <v>52</v>
      </c>
      <c r="D10" s="163"/>
      <c r="E10" s="252" t="n">
        <f aca="false">ASS!U48</f>
        <v>0</v>
      </c>
      <c r="F10" s="253" t="n">
        <f aca="false">E10*$D$3</f>
        <v>0</v>
      </c>
      <c r="G10" s="254" t="n">
        <f aca="false">F10+G9</f>
        <v>3068</v>
      </c>
    </row>
    <row r="11" customFormat="false" ht="12.75" hidden="false" customHeight="false" outlineLevel="0" collapsed="false">
      <c r="A11" s="1" t="n">
        <f aca="false">A10+1</f>
        <v>4</v>
      </c>
      <c r="B11" s="251" t="n">
        <v>36831</v>
      </c>
      <c r="C11" s="1" t="s">
        <v>241</v>
      </c>
      <c r="D11" s="163"/>
      <c r="E11" s="252" t="n">
        <f aca="false">ASS!U49</f>
        <v>0.063</v>
      </c>
      <c r="F11" s="253" t="n">
        <f aca="false">E11*$D$3</f>
        <v>819</v>
      </c>
      <c r="G11" s="254" t="n">
        <f aca="false">F11+G10</f>
        <v>3887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" t="n">
        <f aca="false">A11+1</f>
        <v>5</v>
      </c>
      <c r="B12" s="251" t="n">
        <v>36861</v>
      </c>
      <c r="C12" s="25" t="s">
        <v>242</v>
      </c>
      <c r="D12" s="163"/>
      <c r="E12" s="252" t="n">
        <f aca="false">ASS!U50</f>
        <v>0.7</v>
      </c>
      <c r="F12" s="253" t="n">
        <f aca="false">E12*$D$3</f>
        <v>9100</v>
      </c>
      <c r="G12" s="254" t="n">
        <f aca="false">F12+G11</f>
        <v>12987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" t="n">
        <f aca="false">A12+1</f>
        <v>6</v>
      </c>
      <c r="B13" s="251" t="n">
        <v>36892</v>
      </c>
      <c r="C13" s="25" t="s">
        <v>243</v>
      </c>
      <c r="D13" s="163"/>
      <c r="E13" s="255" t="n">
        <v>0</v>
      </c>
      <c r="F13" s="253" t="n">
        <f aca="false">E13*$D$3</f>
        <v>0</v>
      </c>
      <c r="G13" s="254" t="n">
        <f aca="false">F13+G12</f>
        <v>12987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7</v>
      </c>
      <c r="B14" s="251" t="n">
        <v>36923</v>
      </c>
      <c r="C14" s="25" t="s">
        <v>243</v>
      </c>
      <c r="D14" s="163"/>
      <c r="E14" s="255" t="n">
        <f aca="false">IF(TERM_C&gt;=A14,1/TERM_C,0)</f>
        <v>0</v>
      </c>
      <c r="F14" s="253" t="n">
        <f aca="false">E14*$D$3</f>
        <v>0</v>
      </c>
      <c r="G14" s="254" t="n">
        <f aca="false">F14+G13</f>
        <v>12987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8</v>
      </c>
      <c r="B15" s="251" t="n">
        <v>36951</v>
      </c>
      <c r="C15" s="25" t="s">
        <v>243</v>
      </c>
      <c r="D15" s="163"/>
      <c r="E15" s="255" t="n">
        <f aca="false">IF(TERM_C&gt;=A15,1/TERM_C,0)</f>
        <v>0</v>
      </c>
      <c r="F15" s="253" t="n">
        <f aca="false">E15*$D$3</f>
        <v>0</v>
      </c>
      <c r="G15" s="254" t="n">
        <f aca="false">F15+G14</f>
        <v>12987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9</v>
      </c>
      <c r="B16" s="251" t="n">
        <v>36982</v>
      </c>
      <c r="C16" s="25" t="s">
        <v>243</v>
      </c>
      <c r="D16" s="163"/>
      <c r="E16" s="255" t="n">
        <f aca="false">IF(TERM_C&gt;=A16,1/TERM_C,0)</f>
        <v>0</v>
      </c>
      <c r="F16" s="253" t="n">
        <f aca="false">E16*$D$3</f>
        <v>0</v>
      </c>
      <c r="G16" s="254" t="n">
        <f aca="false">F16+G15</f>
        <v>12987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10</v>
      </c>
      <c r="B17" s="251" t="n">
        <v>37012</v>
      </c>
      <c r="C17" s="25" t="s">
        <v>243</v>
      </c>
      <c r="D17" s="163"/>
      <c r="E17" s="255" t="n">
        <f aca="false">IF(TERM_C&gt;=A17,1/TERM_C,0)</f>
        <v>0</v>
      </c>
      <c r="F17" s="253" t="n">
        <f aca="false">E17*$D$3</f>
        <v>0</v>
      </c>
      <c r="G17" s="254" t="n">
        <f aca="false">F17+G16</f>
        <v>12987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11</v>
      </c>
      <c r="B18" s="251" t="n">
        <v>37043</v>
      </c>
      <c r="C18" s="25" t="s">
        <v>244</v>
      </c>
      <c r="D18" s="163"/>
      <c r="E18" s="255" t="n">
        <f aca="false">IF(TERM_C&gt;=A18,1/TERM_C,0)</f>
        <v>0</v>
      </c>
      <c r="F18" s="253" t="n">
        <f aca="false">E18*$D$3</f>
        <v>0</v>
      </c>
      <c r="G18" s="254" t="n">
        <f aca="false">F18+G17</f>
        <v>12987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12</v>
      </c>
      <c r="B19" s="251" t="n">
        <v>37073</v>
      </c>
      <c r="C19" s="25" t="s">
        <v>244</v>
      </c>
      <c r="D19" s="163"/>
      <c r="E19" s="255" t="n">
        <f aca="false">IF(TERM_C&gt;=A19,1/TERM_C,0)</f>
        <v>0</v>
      </c>
      <c r="F19" s="253" t="n">
        <f aca="false">E19*$D$3</f>
        <v>0</v>
      </c>
      <c r="G19" s="254" t="n">
        <f aca="false">F19+G18</f>
        <v>12987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13</v>
      </c>
      <c r="B20" s="251" t="n">
        <v>37104</v>
      </c>
      <c r="C20" s="25" t="s">
        <v>244</v>
      </c>
      <c r="D20" s="163"/>
      <c r="E20" s="255" t="n">
        <f aca="false">IF(TERM_C&gt;=A20,1/TERM_C,0)</f>
        <v>0</v>
      </c>
      <c r="F20" s="253" t="n">
        <f aca="false">E20*$D$3</f>
        <v>0</v>
      </c>
      <c r="G20" s="254" t="n">
        <f aca="false">F20+G19</f>
        <v>12987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14</v>
      </c>
      <c r="B21" s="251" t="n">
        <v>37135</v>
      </c>
      <c r="C21" s="25" t="s">
        <v>244</v>
      </c>
      <c r="D21" s="163"/>
      <c r="E21" s="255" t="n">
        <f aca="false">IF(TERM_C&gt;=A21,1/TERM_C,0)</f>
        <v>0</v>
      </c>
      <c r="F21" s="253" t="n">
        <f aca="false">E21*$D$3</f>
        <v>0</v>
      </c>
      <c r="G21" s="254" t="n">
        <f aca="false">F21+G20</f>
        <v>12987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15</v>
      </c>
      <c r="B22" s="251" t="n">
        <v>37165</v>
      </c>
      <c r="C22" s="25" t="s">
        <v>244</v>
      </c>
      <c r="D22" s="163"/>
      <c r="E22" s="255" t="n">
        <f aca="false">IF(TERM_C&gt;=A22,1/TERM_C,0)</f>
        <v>0</v>
      </c>
      <c r="F22" s="253" t="n">
        <f aca="false">E22*$D$3</f>
        <v>0</v>
      </c>
      <c r="G22" s="254" t="n">
        <f aca="false">F22+G21</f>
        <v>12987</v>
      </c>
    </row>
    <row r="23" customFormat="false" ht="12.75" hidden="false" customHeight="false" outlineLevel="0" collapsed="false">
      <c r="A23" s="1" t="n">
        <f aca="false">A22+1</f>
        <v>16</v>
      </c>
      <c r="B23" s="251" t="n">
        <v>37196</v>
      </c>
      <c r="C23" s="25" t="s">
        <v>244</v>
      </c>
      <c r="D23" s="163"/>
      <c r="E23" s="255" t="n">
        <f aca="false">IF(TERM_C&gt;=A23,1/TERM_C,0)</f>
        <v>0</v>
      </c>
      <c r="F23" s="253" t="n">
        <f aca="false">E23*$D$3</f>
        <v>0</v>
      </c>
      <c r="G23" s="254" t="n">
        <f aca="false">F23+G22</f>
        <v>12987</v>
      </c>
    </row>
    <row r="24" customFormat="false" ht="12.75" hidden="false" customHeight="false" outlineLevel="0" collapsed="false">
      <c r="A24" s="1" t="n">
        <f aca="false">A23+1</f>
        <v>17</v>
      </c>
      <c r="B24" s="251" t="n">
        <v>37226</v>
      </c>
      <c r="C24" s="25" t="s">
        <v>244</v>
      </c>
      <c r="D24" s="163"/>
      <c r="E24" s="255" t="n">
        <f aca="false">IF(TERM_C&gt;=A24,1/TERM_C,0)</f>
        <v>0</v>
      </c>
      <c r="F24" s="253" t="n">
        <f aca="false">E24*$D$3</f>
        <v>0</v>
      </c>
      <c r="G24" s="254" t="n">
        <f aca="false">F24+G23</f>
        <v>12987</v>
      </c>
    </row>
    <row r="25" customFormat="false" ht="12.75" hidden="false" customHeight="false" outlineLevel="0" collapsed="false">
      <c r="A25" s="1" t="n">
        <f aca="false">A24+1</f>
        <v>18</v>
      </c>
      <c r="B25" s="251" t="n">
        <v>37257</v>
      </c>
      <c r="C25" s="25" t="s">
        <v>244</v>
      </c>
      <c r="D25" s="163"/>
      <c r="E25" s="255" t="n">
        <f aca="false">IF(TERM_C&gt;=A25,1/TERM_C,0)</f>
        <v>0</v>
      </c>
      <c r="F25" s="253" t="n">
        <f aca="false">E25*$D$3</f>
        <v>0</v>
      </c>
      <c r="G25" s="254" t="n">
        <f aca="false">F25+G24</f>
        <v>12987</v>
      </c>
    </row>
    <row r="26" customFormat="false" ht="12.75" hidden="false" customHeight="false" outlineLevel="0" collapsed="false">
      <c r="A26" s="1" t="n">
        <f aca="false">A25+1</f>
        <v>19</v>
      </c>
      <c r="B26" s="251" t="n">
        <v>37288</v>
      </c>
      <c r="C26" s="25" t="s">
        <v>244</v>
      </c>
      <c r="D26" s="163"/>
      <c r="E26" s="255" t="n">
        <f aca="false">IF(TERM_C&gt;=A26,1/TERM_C,0)</f>
        <v>0</v>
      </c>
      <c r="F26" s="253" t="n">
        <f aca="false">E26*$D$3</f>
        <v>0</v>
      </c>
      <c r="G26" s="254" t="n">
        <f aca="false">F26+G25</f>
        <v>12987</v>
      </c>
    </row>
    <row r="27" customFormat="false" ht="12.75" hidden="false" customHeight="false" outlineLevel="0" collapsed="false">
      <c r="A27" s="1" t="n">
        <f aca="false">A26+1</f>
        <v>20</v>
      </c>
      <c r="B27" s="251" t="n">
        <v>37316</v>
      </c>
      <c r="C27" s="25" t="s">
        <v>244</v>
      </c>
      <c r="D27" s="163"/>
      <c r="E27" s="255" t="n">
        <f aca="false">IF(TERM_C&gt;=A27,1/TERM_C,0)</f>
        <v>0</v>
      </c>
      <c r="F27" s="253" t="n">
        <f aca="false">E27*$D$3</f>
        <v>0</v>
      </c>
      <c r="G27" s="254" t="n">
        <f aca="false">F27+G26</f>
        <v>12987</v>
      </c>
    </row>
    <row r="28" customFormat="false" ht="12.75" hidden="false" customHeight="false" outlineLevel="0" collapsed="false">
      <c r="A28" s="1" t="n">
        <f aca="false">A27+1</f>
        <v>21</v>
      </c>
      <c r="B28" s="251" t="n">
        <v>37347</v>
      </c>
      <c r="C28" s="25" t="s">
        <v>244</v>
      </c>
      <c r="D28" s="163"/>
      <c r="E28" s="255" t="n">
        <f aca="false">IF(TERM_C&gt;=A28,1/TERM_C,0)</f>
        <v>0</v>
      </c>
      <c r="F28" s="253" t="n">
        <f aca="false">E28*$D$3</f>
        <v>0</v>
      </c>
      <c r="G28" s="254" t="n">
        <f aca="false">F28+G27</f>
        <v>12987</v>
      </c>
    </row>
    <row r="29" customFormat="false" ht="12.75" hidden="false" customHeight="false" outlineLevel="0" collapsed="false">
      <c r="A29" s="1" t="n">
        <f aca="false">A28+1</f>
        <v>22</v>
      </c>
      <c r="B29" s="251" t="n">
        <v>37377</v>
      </c>
      <c r="C29" s="25" t="s">
        <v>244</v>
      </c>
      <c r="D29" s="163"/>
      <c r="E29" s="255" t="n">
        <f aca="false">IF(TERM_C&gt;=A29,1/TERM_C,0)</f>
        <v>0</v>
      </c>
      <c r="F29" s="253" t="n">
        <f aca="false">E29*$D$3</f>
        <v>0</v>
      </c>
      <c r="G29" s="254" t="n">
        <f aca="false">F29+G28</f>
        <v>12987</v>
      </c>
    </row>
    <row r="30" customFormat="false" ht="12.75" hidden="false" customHeight="false" outlineLevel="0" collapsed="false">
      <c r="A30" s="1" t="n">
        <f aca="false">A29+1</f>
        <v>23</v>
      </c>
      <c r="B30" s="251" t="n">
        <v>37408</v>
      </c>
      <c r="C30" s="25" t="s">
        <v>244</v>
      </c>
      <c r="D30" s="163"/>
      <c r="E30" s="255" t="n">
        <f aca="false">IF(TERM_C&gt;=A30,1/TERM_C,0)</f>
        <v>0</v>
      </c>
      <c r="F30" s="253" t="n">
        <f aca="false">E30*$D$3</f>
        <v>0</v>
      </c>
      <c r="G30" s="254" t="n">
        <f aca="false">F30+G29</f>
        <v>12987</v>
      </c>
    </row>
    <row r="31" customFormat="false" ht="12.75" hidden="false" customHeight="false" outlineLevel="0" collapsed="false">
      <c r="A31" s="1" t="n">
        <f aca="false">A30+1</f>
        <v>24</v>
      </c>
      <c r="B31" s="251" t="n">
        <v>37438</v>
      </c>
      <c r="C31" s="25" t="s">
        <v>244</v>
      </c>
      <c r="D31" s="163"/>
      <c r="E31" s="255" t="n">
        <f aca="false">IF(TERM_C&gt;=A31,1/TERM_C,0)</f>
        <v>0</v>
      </c>
      <c r="F31" s="253" t="n">
        <f aca="false">E31*$D$3</f>
        <v>0</v>
      </c>
      <c r="G31" s="254" t="n">
        <f aca="false">F31+G30</f>
        <v>12987</v>
      </c>
    </row>
    <row r="32" customFormat="false" ht="12.75" hidden="false" customHeight="false" outlineLevel="0" collapsed="false">
      <c r="A32" s="1" t="n">
        <f aca="false">A31+1</f>
        <v>25</v>
      </c>
      <c r="B32" s="251" t="n">
        <v>37469</v>
      </c>
      <c r="C32" s="25" t="s">
        <v>244</v>
      </c>
      <c r="D32" s="163"/>
      <c r="E32" s="255" t="n">
        <f aca="false">IF(TERM_C&gt;=A32,1/TERM_C,0)</f>
        <v>0</v>
      </c>
      <c r="F32" s="253" t="n">
        <f aca="false">E32*$D$3</f>
        <v>0</v>
      </c>
      <c r="G32" s="254" t="n">
        <f aca="false">F32+G31</f>
        <v>12987</v>
      </c>
    </row>
    <row r="33" customFormat="false" ht="12.75" hidden="false" customHeight="false" outlineLevel="0" collapsed="false">
      <c r="A33" s="1" t="n">
        <f aca="false">A32+1</f>
        <v>26</v>
      </c>
      <c r="B33" s="251" t="n">
        <v>37500</v>
      </c>
      <c r="C33" s="25" t="s">
        <v>244</v>
      </c>
      <c r="D33" s="163"/>
      <c r="E33" s="255" t="n">
        <f aca="false">IF(TERM_C&gt;=A33,1/TERM_C,0)</f>
        <v>0</v>
      </c>
      <c r="F33" s="253" t="n">
        <f aca="false">E33*$D$3</f>
        <v>0</v>
      </c>
      <c r="G33" s="254" t="n">
        <f aca="false">F33+G32</f>
        <v>12987</v>
      </c>
    </row>
    <row r="34" customFormat="false" ht="12.75" hidden="false" customHeight="false" outlineLevel="0" collapsed="false">
      <c r="A34" s="1" t="n">
        <f aca="false">A33+1</f>
        <v>27</v>
      </c>
      <c r="B34" s="251" t="n">
        <v>37530</v>
      </c>
      <c r="C34" s="25" t="s">
        <v>244</v>
      </c>
      <c r="D34" s="163"/>
      <c r="E34" s="255" t="n">
        <f aca="false">IF(TERM_C&gt;=A34,1/TERM_C,0)</f>
        <v>0</v>
      </c>
      <c r="F34" s="253" t="n">
        <f aca="false">E34*$D$3</f>
        <v>0</v>
      </c>
      <c r="G34" s="254" t="n">
        <f aca="false">F34+G33</f>
        <v>12987</v>
      </c>
    </row>
    <row r="35" customFormat="false" ht="12.75" hidden="false" customHeight="false" outlineLevel="0" collapsed="false">
      <c r="A35" s="1" t="n">
        <f aca="false">A34+1</f>
        <v>28</v>
      </c>
      <c r="B35" s="251" t="n">
        <v>37561</v>
      </c>
      <c r="C35" s="25" t="s">
        <v>244</v>
      </c>
      <c r="D35" s="163"/>
      <c r="E35" s="255" t="n">
        <f aca="false">IF(TERM_C&gt;=A35,1/TERM_C,0)</f>
        <v>0</v>
      </c>
      <c r="F35" s="253" t="n">
        <f aca="false">E35*$D$3</f>
        <v>0</v>
      </c>
      <c r="G35" s="254" t="n">
        <f aca="false">F35+G34</f>
        <v>12987</v>
      </c>
    </row>
    <row r="36" customFormat="false" ht="12.75" hidden="false" customHeight="false" outlineLevel="0" collapsed="false">
      <c r="A36" s="1" t="n">
        <f aca="false">A35+1</f>
        <v>29</v>
      </c>
      <c r="B36" s="251" t="n">
        <v>37591</v>
      </c>
      <c r="C36" s="25" t="s">
        <v>244</v>
      </c>
      <c r="D36" s="163"/>
      <c r="E36" s="255" t="n">
        <f aca="false">IF(TERM_C&gt;=A36,1/TERM_C,0)</f>
        <v>0</v>
      </c>
      <c r="F36" s="253" t="n">
        <f aca="false">E36*$D$3</f>
        <v>0</v>
      </c>
      <c r="G36" s="254" t="n">
        <f aca="false">F36+G35</f>
        <v>12987</v>
      </c>
    </row>
    <row r="37" customFormat="false" ht="12.75" hidden="false" customHeight="false" outlineLevel="0" collapsed="false">
      <c r="A37" s="1" t="n">
        <f aca="false">A36+1</f>
        <v>30</v>
      </c>
      <c r="B37" s="251" t="n">
        <v>37622</v>
      </c>
      <c r="C37" s="25" t="s">
        <v>244</v>
      </c>
      <c r="D37" s="163"/>
      <c r="E37" s="255" t="n">
        <f aca="false">IF(TERM_C&gt;=A37,1/TERM_C,0)</f>
        <v>0</v>
      </c>
      <c r="F37" s="253" t="n">
        <f aca="false">E37*$D$3</f>
        <v>0</v>
      </c>
      <c r="G37" s="254" t="n">
        <f aca="false">F37+G36</f>
        <v>12987</v>
      </c>
    </row>
    <row r="38" customFormat="false" ht="12.75" hidden="false" customHeight="false" outlineLevel="0" collapsed="false">
      <c r="A38" s="1" t="n">
        <f aca="false">A37+1</f>
        <v>31</v>
      </c>
      <c r="B38" s="251" t="n">
        <v>37653</v>
      </c>
      <c r="C38" s="25" t="s">
        <v>244</v>
      </c>
      <c r="D38" s="163"/>
      <c r="E38" s="255" t="n">
        <f aca="false">IF(TERM_C&gt;=A38,1/TERM_C,0)</f>
        <v>0</v>
      </c>
      <c r="F38" s="253" t="n">
        <f aca="false">E38*$D$3</f>
        <v>0</v>
      </c>
      <c r="G38" s="254" t="n">
        <f aca="false">F38+G37</f>
        <v>12987</v>
      </c>
    </row>
    <row r="39" customFormat="false" ht="12.75" hidden="false" customHeight="false" outlineLevel="0" collapsed="false">
      <c r="A39" s="1" t="n">
        <f aca="false">A38+1</f>
        <v>32</v>
      </c>
      <c r="B39" s="251" t="n">
        <v>37681</v>
      </c>
      <c r="C39" s="25" t="s">
        <v>244</v>
      </c>
      <c r="D39" s="163"/>
      <c r="E39" s="255" t="n">
        <f aca="false">IF(TERM_C&gt;=A39,1/TERM_C,0)</f>
        <v>0</v>
      </c>
      <c r="F39" s="253" t="n">
        <f aca="false">E39*$D$3</f>
        <v>0</v>
      </c>
      <c r="G39" s="254" t="n">
        <f aca="false">F39+G38</f>
        <v>12987</v>
      </c>
    </row>
    <row r="40" customFormat="false" ht="12.75" hidden="false" customHeight="false" outlineLevel="0" collapsed="false">
      <c r="A40" s="1" t="n">
        <f aca="false">A39+1</f>
        <v>33</v>
      </c>
      <c r="B40" s="251" t="n">
        <v>37712</v>
      </c>
      <c r="C40" s="25" t="s">
        <v>244</v>
      </c>
      <c r="D40" s="163"/>
      <c r="E40" s="255" t="n">
        <f aca="false">IF(TERM_C&gt;=A40,1/TERM_C,0)</f>
        <v>0</v>
      </c>
      <c r="F40" s="253" t="n">
        <f aca="false">E40*$D$3</f>
        <v>0</v>
      </c>
      <c r="G40" s="254" t="n">
        <f aca="false">F40+G39</f>
        <v>12987</v>
      </c>
    </row>
    <row r="41" customFormat="false" ht="12.75" hidden="false" customHeight="false" outlineLevel="0" collapsed="false">
      <c r="A41" s="1" t="n">
        <f aca="false">A40+1</f>
        <v>34</v>
      </c>
      <c r="B41" s="251" t="n">
        <v>37742</v>
      </c>
      <c r="C41" s="25" t="s">
        <v>244</v>
      </c>
      <c r="D41" s="163"/>
      <c r="E41" s="255" t="n">
        <f aca="false">IF(TERM_C&gt;=A41,1/TERM_C,0)</f>
        <v>0</v>
      </c>
      <c r="F41" s="253" t="n">
        <f aca="false">E41*$D$3</f>
        <v>0</v>
      </c>
      <c r="G41" s="254" t="n">
        <f aca="false">F41+G40</f>
        <v>12987</v>
      </c>
    </row>
    <row r="42" customFormat="false" ht="12.75" hidden="false" customHeight="false" outlineLevel="0" collapsed="false">
      <c r="A42" s="1" t="n">
        <f aca="false">A41+1</f>
        <v>35</v>
      </c>
      <c r="B42" s="251" t="n">
        <v>37773</v>
      </c>
      <c r="C42" s="25" t="s">
        <v>244</v>
      </c>
      <c r="D42" s="163"/>
      <c r="E42" s="255" t="n">
        <f aca="false">IF(TERM_C&gt;=A42,1/TERM_C,0)</f>
        <v>0</v>
      </c>
      <c r="F42" s="253" t="n">
        <f aca="false">E42*$D$3</f>
        <v>0</v>
      </c>
      <c r="G42" s="254" t="n">
        <f aca="false">F42+G41</f>
        <v>12987</v>
      </c>
    </row>
    <row r="43" customFormat="false" ht="12.75" hidden="false" customHeight="false" outlineLevel="0" collapsed="false">
      <c r="A43" s="1" t="n">
        <f aca="false">A42+1</f>
        <v>36</v>
      </c>
      <c r="B43" s="251" t="n">
        <v>37803</v>
      </c>
      <c r="C43" s="25" t="s">
        <v>244</v>
      </c>
      <c r="D43" s="163"/>
      <c r="E43" s="255" t="n">
        <f aca="false">IF(TERM_C&gt;=A43,1/TERM_C,0)</f>
        <v>0</v>
      </c>
      <c r="F43" s="253" t="n">
        <f aca="false">E43*$D$3</f>
        <v>0</v>
      </c>
      <c r="G43" s="254" t="n">
        <f aca="false">F43+G42</f>
        <v>12987</v>
      </c>
    </row>
    <row r="44" customFormat="false" ht="12.75" hidden="false" customHeight="false" outlineLevel="0" collapsed="false">
      <c r="A44" s="1" t="n">
        <f aca="false">A43+1</f>
        <v>37</v>
      </c>
      <c r="B44" s="251" t="n">
        <v>37834</v>
      </c>
      <c r="C44" s="25" t="s">
        <v>244</v>
      </c>
      <c r="D44" s="163"/>
      <c r="E44" s="255" t="n">
        <f aca="false">IF(TERM_C&gt;=A44,1/TERM_C,0)</f>
        <v>0</v>
      </c>
      <c r="F44" s="253" t="n">
        <f aca="false">E44*$D$3</f>
        <v>0</v>
      </c>
      <c r="G44" s="254" t="n">
        <f aca="false">F44+G43</f>
        <v>12987</v>
      </c>
    </row>
    <row r="45" customFormat="false" ht="12.75" hidden="false" customHeight="false" outlineLevel="0" collapsed="false">
      <c r="A45" s="1" t="n">
        <f aca="false">A44+1</f>
        <v>38</v>
      </c>
      <c r="B45" s="251" t="n">
        <v>37865</v>
      </c>
      <c r="C45" s="25" t="s">
        <v>244</v>
      </c>
      <c r="D45" s="163"/>
      <c r="E45" s="255" t="n">
        <f aca="false">IF(TERM_C&gt;=A45,1/TERM_C,0)</f>
        <v>0</v>
      </c>
      <c r="F45" s="253" t="n">
        <f aca="false">E45*$D$3</f>
        <v>0</v>
      </c>
      <c r="G45" s="254" t="n">
        <f aca="false">F45+G44</f>
        <v>12987</v>
      </c>
    </row>
    <row r="46" customFormat="false" ht="12.75" hidden="false" customHeight="false" outlineLevel="0" collapsed="false">
      <c r="A46" s="1" t="n">
        <f aca="false">A45+1</f>
        <v>39</v>
      </c>
      <c r="B46" s="251" t="n">
        <v>37895</v>
      </c>
      <c r="C46" s="25" t="s">
        <v>244</v>
      </c>
      <c r="D46" s="163"/>
      <c r="E46" s="255" t="n">
        <f aca="false">IF(TERM_C&gt;=A46,1/TERM_C,0)</f>
        <v>0</v>
      </c>
      <c r="F46" s="253" t="n">
        <f aca="false">E46*$D$3</f>
        <v>0</v>
      </c>
      <c r="G46" s="254" t="n">
        <f aca="false">F46+G45</f>
        <v>12987</v>
      </c>
    </row>
    <row r="47" customFormat="false" ht="12.75" hidden="false" customHeight="false" outlineLevel="0" collapsed="false">
      <c r="A47" s="1" t="n">
        <f aca="false">A46+1</f>
        <v>40</v>
      </c>
      <c r="B47" s="251" t="n">
        <v>37926</v>
      </c>
      <c r="C47" s="25" t="s">
        <v>244</v>
      </c>
      <c r="D47" s="163"/>
      <c r="E47" s="255" t="n">
        <f aca="false">IF(TERM_C&gt;=A47,1/TERM_C,0)</f>
        <v>0</v>
      </c>
      <c r="F47" s="253" t="n">
        <f aca="false">E47*$D$3</f>
        <v>0</v>
      </c>
      <c r="G47" s="254" t="n">
        <f aca="false">F47+G46</f>
        <v>12987</v>
      </c>
    </row>
    <row r="48" customFormat="false" ht="12.75" hidden="false" customHeight="false" outlineLevel="0" collapsed="false">
      <c r="A48" s="1" t="n">
        <f aca="false">A47+1</f>
        <v>41</v>
      </c>
      <c r="B48" s="251" t="n">
        <v>37956</v>
      </c>
      <c r="C48" s="25" t="s">
        <v>244</v>
      </c>
      <c r="D48" s="163"/>
      <c r="E48" s="255" t="n">
        <f aca="false">IF(TERM_C&gt;=A48,1/TERM_C,0)</f>
        <v>0</v>
      </c>
      <c r="F48" s="253" t="n">
        <f aca="false">E48*$D$3</f>
        <v>0</v>
      </c>
      <c r="G48" s="254" t="n">
        <f aca="false">F48+G47</f>
        <v>12987</v>
      </c>
    </row>
    <row r="49" customFormat="false" ht="12.75" hidden="false" customHeight="false" outlineLevel="0" collapsed="false">
      <c r="A49" s="1" t="n">
        <f aca="false">A48+1</f>
        <v>42</v>
      </c>
      <c r="B49" s="251" t="n">
        <v>37987</v>
      </c>
      <c r="C49" s="25"/>
      <c r="D49" s="163"/>
      <c r="E49" s="255" t="n">
        <f aca="false">IF(TERM_C&gt;=A49,1/TERM_C,0)</f>
        <v>0</v>
      </c>
      <c r="F49" s="253" t="n">
        <f aca="false">E49*$D$3</f>
        <v>0</v>
      </c>
      <c r="G49" s="254" t="n">
        <f aca="false">F49+G48</f>
        <v>12987</v>
      </c>
    </row>
    <row r="50" customFormat="false" ht="12.75" hidden="false" customHeight="false" outlineLevel="0" collapsed="false">
      <c r="A50" s="1" t="n">
        <f aca="false">A49+1</f>
        <v>43</v>
      </c>
      <c r="B50" s="251" t="n">
        <v>38018</v>
      </c>
      <c r="C50" s="25"/>
      <c r="D50" s="163"/>
      <c r="E50" s="255" t="n">
        <f aca="false">IF(TERM_C&gt;=A50,1/TERM_C,0)</f>
        <v>0</v>
      </c>
      <c r="F50" s="253" t="n">
        <f aca="false">E50*$D$3</f>
        <v>0</v>
      </c>
      <c r="G50" s="254" t="n">
        <f aca="false">F50+G49</f>
        <v>12987</v>
      </c>
    </row>
    <row r="51" customFormat="false" ht="12.75" hidden="false" customHeight="false" outlineLevel="0" collapsed="false">
      <c r="A51" s="1" t="n">
        <f aca="false">A50+1</f>
        <v>44</v>
      </c>
      <c r="B51" s="251" t="n">
        <v>38047</v>
      </c>
      <c r="C51" s="25"/>
      <c r="D51" s="163"/>
      <c r="E51" s="255" t="n">
        <f aca="false">IF(TERM_C&gt;=A51,1/TERM_C,0)</f>
        <v>0</v>
      </c>
      <c r="F51" s="253" t="n">
        <f aca="false">E51*$D$3</f>
        <v>0</v>
      </c>
      <c r="G51" s="254" t="n">
        <f aca="false">F51+G50</f>
        <v>12987</v>
      </c>
    </row>
    <row r="52" customFormat="false" ht="12.75" hidden="false" customHeight="false" outlineLevel="0" collapsed="false">
      <c r="A52" s="1" t="n">
        <f aca="false">A51+1</f>
        <v>45</v>
      </c>
      <c r="B52" s="251" t="n">
        <v>38078</v>
      </c>
      <c r="C52" s="25"/>
      <c r="D52" s="163"/>
      <c r="E52" s="255" t="n">
        <f aca="false">IF(TERM_C&gt;=A52,1/TERM_C,0)</f>
        <v>0</v>
      </c>
      <c r="F52" s="253" t="n">
        <f aca="false">E52*$D$3</f>
        <v>0</v>
      </c>
      <c r="G52" s="254" t="n">
        <f aca="false">F52+G51</f>
        <v>12987</v>
      </c>
    </row>
    <row r="53" customFormat="false" ht="12.75" hidden="false" customHeight="false" outlineLevel="0" collapsed="false">
      <c r="A53" s="1" t="n">
        <f aca="false">A52+1</f>
        <v>46</v>
      </c>
      <c r="B53" s="251" t="n">
        <v>38108</v>
      </c>
      <c r="C53" s="25"/>
      <c r="D53" s="163"/>
      <c r="E53" s="255" t="n">
        <f aca="false">IF(TERM_C&gt;=A53,1/TERM_C,0)</f>
        <v>0</v>
      </c>
      <c r="F53" s="253" t="n">
        <f aca="false">E53*$D$3</f>
        <v>0</v>
      </c>
      <c r="G53" s="254" t="n">
        <f aca="false">F53+G52</f>
        <v>12987</v>
      </c>
    </row>
    <row r="54" customFormat="false" ht="12.75" hidden="false" customHeight="false" outlineLevel="0" collapsed="false">
      <c r="A54" s="1" t="n">
        <f aca="false">A53+1</f>
        <v>47</v>
      </c>
      <c r="B54" s="251" t="n">
        <v>38139</v>
      </c>
      <c r="C54" s="25"/>
      <c r="D54" s="163"/>
      <c r="E54" s="255" t="n">
        <f aca="false">IF(TERM_C&gt;=A54,1/TERM_C,0)</f>
        <v>0</v>
      </c>
      <c r="F54" s="253" t="n">
        <f aca="false">E54*$D$3</f>
        <v>0</v>
      </c>
      <c r="G54" s="254" t="n">
        <f aca="false">F54+G53</f>
        <v>12987</v>
      </c>
    </row>
    <row r="55" customFormat="false" ht="12.75" hidden="false" customHeight="false" outlineLevel="0" collapsed="false">
      <c r="A55" s="1" t="n">
        <f aca="false">A54+1</f>
        <v>48</v>
      </c>
      <c r="B55" s="251" t="n">
        <v>38169</v>
      </c>
      <c r="C55" s="25"/>
      <c r="D55" s="163"/>
      <c r="E55" s="255" t="n">
        <f aca="false">IF(TERM_C&gt;=A55,1/TERM_C,0)</f>
        <v>0</v>
      </c>
      <c r="F55" s="253" t="n">
        <f aca="false">E55*$D$3</f>
        <v>0</v>
      </c>
      <c r="G55" s="254" t="n">
        <f aca="false">F55+G54</f>
        <v>12987</v>
      </c>
    </row>
    <row r="56" customFormat="false" ht="12.75" hidden="false" customHeight="false" outlineLevel="0" collapsed="false">
      <c r="A56" s="1" t="n">
        <f aca="false">A55+1</f>
        <v>49</v>
      </c>
      <c r="B56" s="251" t="n">
        <v>38200</v>
      </c>
      <c r="C56" s="25"/>
      <c r="D56" s="163"/>
      <c r="E56" s="255" t="n">
        <f aca="false">IF(TERM_C&gt;=A56,1/TERM_C,0)</f>
        <v>0</v>
      </c>
      <c r="F56" s="253" t="n">
        <f aca="false">E56*$D$3</f>
        <v>0</v>
      </c>
      <c r="G56" s="254" t="n">
        <f aca="false">F56+G55</f>
        <v>12987</v>
      </c>
    </row>
    <row r="57" customFormat="false" ht="12.75" hidden="false" customHeight="false" outlineLevel="0" collapsed="false">
      <c r="A57" s="1" t="n">
        <f aca="false">A56+1</f>
        <v>50</v>
      </c>
      <c r="B57" s="251" t="n">
        <v>38231</v>
      </c>
      <c r="C57" s="25"/>
      <c r="D57" s="163"/>
      <c r="E57" s="255" t="n">
        <f aca="false">IF(TERM_C&gt;=A57,1/TERM_C,0)</f>
        <v>0</v>
      </c>
      <c r="F57" s="253" t="n">
        <f aca="false">E57*$D$3</f>
        <v>0</v>
      </c>
      <c r="G57" s="254" t="n">
        <f aca="false">F57+G56</f>
        <v>12987</v>
      </c>
    </row>
    <row r="58" customFormat="false" ht="12.75" hidden="false" customHeight="false" outlineLevel="0" collapsed="false">
      <c r="A58" s="1" t="n">
        <f aca="false">A57+1</f>
        <v>51</v>
      </c>
      <c r="B58" s="251" t="n">
        <v>38261</v>
      </c>
      <c r="C58" s="25"/>
      <c r="D58" s="163"/>
      <c r="E58" s="255" t="n">
        <f aca="false">IF(TERM_C&gt;=A58,1/TERM_C,0)</f>
        <v>0</v>
      </c>
      <c r="F58" s="253" t="n">
        <f aca="false">E58*$D$3</f>
        <v>0</v>
      </c>
      <c r="G58" s="254" t="n">
        <f aca="false">F58+G57</f>
        <v>12987</v>
      </c>
    </row>
    <row r="59" customFormat="false" ht="12.75" hidden="false" customHeight="false" outlineLevel="0" collapsed="false">
      <c r="A59" s="1" t="n">
        <f aca="false">A58+1</f>
        <v>52</v>
      </c>
      <c r="B59" s="251" t="n">
        <v>38292</v>
      </c>
      <c r="C59" s="25"/>
      <c r="D59" s="163"/>
      <c r="E59" s="255" t="n">
        <f aca="false">IF(TERM_C&gt;=A59,1/TERM_C,0)</f>
        <v>0</v>
      </c>
      <c r="F59" s="253" t="n">
        <f aca="false">E59*$D$3</f>
        <v>0</v>
      </c>
      <c r="G59" s="254" t="n">
        <f aca="false">F59+G58</f>
        <v>12987</v>
      </c>
    </row>
    <row r="60" customFormat="false" ht="12.75" hidden="false" customHeight="false" outlineLevel="0" collapsed="false">
      <c r="A60" s="1" t="n">
        <f aca="false">A59+1</f>
        <v>53</v>
      </c>
      <c r="B60" s="251" t="n">
        <v>38322</v>
      </c>
      <c r="C60" s="25"/>
      <c r="D60" s="163"/>
      <c r="E60" s="255" t="n">
        <f aca="false">IF(TERM_C&gt;=A60,1/TERM_C,0)</f>
        <v>0</v>
      </c>
      <c r="F60" s="253" t="n">
        <f aca="false">E60*$D$3</f>
        <v>0</v>
      </c>
      <c r="G60" s="254" t="n">
        <f aca="false">F60+G59</f>
        <v>12987</v>
      </c>
    </row>
    <row r="61" customFormat="false" ht="12.75" hidden="false" customHeight="false" outlineLevel="0" collapsed="false">
      <c r="A61" s="1" t="n">
        <f aca="false">A60+1</f>
        <v>54</v>
      </c>
      <c r="B61" s="251" t="n">
        <v>38353</v>
      </c>
      <c r="C61" s="25"/>
      <c r="D61" s="163"/>
      <c r="E61" s="255" t="n">
        <f aca="false">IF(TERM_C&gt;=A61,1/TERM_C,0)</f>
        <v>0</v>
      </c>
      <c r="F61" s="253" t="n">
        <f aca="false">E61*$D$3</f>
        <v>0</v>
      </c>
      <c r="G61" s="254" t="n">
        <f aca="false">F61+G60</f>
        <v>12987</v>
      </c>
    </row>
    <row r="62" customFormat="false" ht="12.75" hidden="false" customHeight="false" outlineLevel="0" collapsed="false">
      <c r="A62" s="1" t="n">
        <f aca="false">A61+1</f>
        <v>55</v>
      </c>
      <c r="B62" s="251" t="n">
        <v>38384</v>
      </c>
      <c r="C62" s="25"/>
      <c r="D62" s="163"/>
      <c r="E62" s="255" t="n">
        <f aca="false">IF(TERM_C&gt;=A62,1/TERM_C,0)</f>
        <v>0</v>
      </c>
      <c r="F62" s="253" t="n">
        <f aca="false">E62*$D$3</f>
        <v>0</v>
      </c>
      <c r="G62" s="254" t="n">
        <f aca="false">F62+G61</f>
        <v>12987</v>
      </c>
    </row>
    <row r="63" customFormat="false" ht="12.75" hidden="false" customHeight="false" outlineLevel="0" collapsed="false">
      <c r="A63" s="1" t="n">
        <f aca="false">A62+1</f>
        <v>56</v>
      </c>
      <c r="B63" s="251" t="n">
        <v>38412</v>
      </c>
      <c r="C63" s="25"/>
      <c r="D63" s="163"/>
      <c r="E63" s="255" t="n">
        <f aca="false">IF(TERM_C&gt;=A63,1/TERM_C,0)</f>
        <v>0</v>
      </c>
      <c r="F63" s="253" t="n">
        <f aca="false">E63*$D$3</f>
        <v>0</v>
      </c>
      <c r="G63" s="254" t="n">
        <f aca="false">F63+G62</f>
        <v>12987</v>
      </c>
    </row>
    <row r="64" customFormat="false" ht="12.75" hidden="false" customHeight="false" outlineLevel="0" collapsed="false">
      <c r="A64" s="1" t="n">
        <f aca="false">A63+1</f>
        <v>57</v>
      </c>
      <c r="B64" s="251" t="n">
        <v>38443</v>
      </c>
      <c r="C64" s="25"/>
      <c r="D64" s="163"/>
      <c r="E64" s="255" t="n">
        <f aca="false">IF(TERM_C&gt;=A64,1/TERM_C,0)</f>
        <v>0</v>
      </c>
      <c r="F64" s="253" t="n">
        <f aca="false">E64*$D$3</f>
        <v>0</v>
      </c>
      <c r="G64" s="254" t="n">
        <f aca="false">F64+G63</f>
        <v>12987</v>
      </c>
    </row>
    <row r="65" customFormat="false" ht="12.75" hidden="false" customHeight="false" outlineLevel="0" collapsed="false">
      <c r="A65" s="1" t="n">
        <f aca="false">A64+1</f>
        <v>58</v>
      </c>
      <c r="B65" s="251" t="n">
        <v>38473</v>
      </c>
      <c r="C65" s="25"/>
      <c r="D65" s="163"/>
      <c r="E65" s="255" t="n">
        <f aca="false">IF(TERM_C&gt;=A65,1/TERM_C,0)</f>
        <v>0</v>
      </c>
      <c r="F65" s="253" t="n">
        <f aca="false">E65*$D$3</f>
        <v>0</v>
      </c>
      <c r="G65" s="254" t="n">
        <f aca="false">F65+G64</f>
        <v>12987</v>
      </c>
    </row>
    <row r="66" customFormat="false" ht="12.75" hidden="false" customHeight="false" outlineLevel="0" collapsed="false">
      <c r="A66" s="1" t="n">
        <f aca="false">A65+1</f>
        <v>59</v>
      </c>
      <c r="B66" s="251" t="n">
        <v>38504</v>
      </c>
      <c r="C66" s="25"/>
      <c r="D66" s="163"/>
      <c r="E66" s="255" t="n">
        <f aca="false">IF(TERM_C&gt;=A66,1/TERM_C,0)</f>
        <v>0</v>
      </c>
      <c r="F66" s="253" t="n">
        <f aca="false">E66*$D$3</f>
        <v>0</v>
      </c>
      <c r="G66" s="254" t="n">
        <f aca="false">F66+G65</f>
        <v>12987</v>
      </c>
    </row>
    <row r="67" customFormat="false" ht="12.75" hidden="false" customHeight="false" outlineLevel="0" collapsed="false">
      <c r="A67" s="1" t="n">
        <f aca="false">A66+1</f>
        <v>60</v>
      </c>
      <c r="B67" s="251" t="n">
        <v>38534</v>
      </c>
      <c r="C67" s="25"/>
      <c r="D67" s="163"/>
      <c r="E67" s="255" t="n">
        <f aca="false">IF(TERM_C&gt;=A67,1/TERM_C,0)</f>
        <v>0</v>
      </c>
      <c r="F67" s="253" t="n">
        <f aca="false">E67*$D$3</f>
        <v>0</v>
      </c>
      <c r="G67" s="254" t="n">
        <f aca="false">F67+G66</f>
        <v>12987</v>
      </c>
    </row>
    <row r="68" customFormat="false" ht="13.5" hidden="false" customHeight="false" outlineLevel="0" collapsed="false">
      <c r="B68" s="165"/>
      <c r="C68" s="25"/>
      <c r="D68" s="163"/>
      <c r="E68" s="255" t="s">
        <v>1</v>
      </c>
      <c r="F68" s="25"/>
      <c r="G68" s="163"/>
    </row>
    <row r="69" customFormat="false" ht="14.25" hidden="false" customHeight="false" outlineLevel="0" collapsed="false">
      <c r="B69" s="256" t="s">
        <v>245</v>
      </c>
      <c r="C69" s="257"/>
      <c r="D69" s="258"/>
      <c r="E69" s="259" t="n">
        <f aca="false">SUM(E8:E68)</f>
        <v>0.999</v>
      </c>
      <c r="F69" s="260" t="n">
        <f aca="false">SUM(F8:F68)</f>
        <v>12987</v>
      </c>
      <c r="G69" s="258"/>
    </row>
    <row r="70" customFormat="false" ht="13.5" hidden="false" customHeight="false" outlineLevel="0" collapsed="false"/>
    <row r="72" customFormat="false" ht="12.75" hidden="false" customHeight="false" outlineLevel="0" collapsed="false">
      <c r="A72" s="261" t="n">
        <v>1</v>
      </c>
      <c r="B72" s="261" t="n">
        <f aca="false">A72+1</f>
        <v>2</v>
      </c>
      <c r="C72" s="261" t="n">
        <f aca="false">B72+1</f>
        <v>3</v>
      </c>
      <c r="D72" s="261" t="n">
        <f aca="false">C72+1</f>
        <v>4</v>
      </c>
      <c r="E72" s="261" t="n">
        <f aca="false">D72+1</f>
        <v>5</v>
      </c>
      <c r="F72" s="261" t="n">
        <f aca="false">E72+1</f>
        <v>6</v>
      </c>
      <c r="G72" s="261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62" t="s">
        <v>246</v>
      </c>
      <c r="B1" s="263"/>
      <c r="C1" s="264"/>
      <c r="D1" s="6"/>
    </row>
    <row r="2" customFormat="false" ht="15.75" hidden="false" customHeight="false" outlineLevel="0" collapsed="false">
      <c r="A2" s="265" t="n">
        <f aca="false">ASS!A4</f>
        <v>0</v>
      </c>
      <c r="B2" s="266"/>
      <c r="C2" s="267"/>
      <c r="D2" s="6"/>
    </row>
    <row r="4" customFormat="false" ht="12.75" hidden="false" customHeight="false" outlineLevel="0" collapsed="false">
      <c r="A4" s="155" t="s">
        <v>247</v>
      </c>
      <c r="B4" s="156"/>
      <c r="C4" s="156"/>
      <c r="D4" s="156"/>
      <c r="E4" s="268" t="n">
        <f aca="false">1</f>
        <v>1</v>
      </c>
      <c r="F4" s="268" t="n">
        <f aca="false">E4+1</f>
        <v>2</v>
      </c>
      <c r="G4" s="268" t="n">
        <f aca="false">F4+1</f>
        <v>3</v>
      </c>
      <c r="H4" s="268" t="n">
        <f aca="false">G4+1</f>
        <v>4</v>
      </c>
      <c r="I4" s="268" t="n">
        <f aca="false">H4+1</f>
        <v>5</v>
      </c>
      <c r="J4" s="268" t="n">
        <f aca="false">I4+1</f>
        <v>6</v>
      </c>
      <c r="K4" s="157"/>
    </row>
    <row r="5" customFormat="false" ht="12.75" hidden="false" customHeight="false" outlineLevel="0" collapsed="false">
      <c r="A5" s="109" t="s">
        <v>248</v>
      </c>
      <c r="B5" s="269"/>
      <c r="C5" s="269"/>
      <c r="D5" s="269"/>
      <c r="E5" s="270" t="n">
        <f aca="false">ASS!T46</f>
        <v>36739</v>
      </c>
      <c r="F5" s="270" t="n">
        <f aca="false">ASS!T47</f>
        <v>36770</v>
      </c>
      <c r="G5" s="270" t="n">
        <f aca="false">ASS!T48</f>
        <v>36800</v>
      </c>
      <c r="H5" s="270" t="n">
        <f aca="false">ASS!T49</f>
        <v>36831</v>
      </c>
      <c r="I5" s="270" t="n">
        <f aca="false">ASS!T50</f>
        <v>36861</v>
      </c>
      <c r="J5" s="270" t="n">
        <f aca="false">ASS!T51</f>
        <v>36892</v>
      </c>
      <c r="K5" s="202" t="s">
        <v>245</v>
      </c>
      <c r="L5" s="250" t="n">
        <v>1</v>
      </c>
    </row>
    <row r="6" customFormat="false" ht="12.75" hidden="false" customHeight="false" outlineLevel="0" collapsed="false">
      <c r="L6" s="1" t="n">
        <f aca="false">L5+1</f>
        <v>2</v>
      </c>
    </row>
    <row r="7" customFormat="false" ht="12.75" hidden="false" customHeight="false" outlineLevel="0" collapsed="false">
      <c r="L7" s="1" t="n">
        <f aca="false">L6+1</f>
        <v>3</v>
      </c>
    </row>
    <row r="8" customFormat="false" ht="12.75" hidden="false" customHeight="false" outlineLevel="0" collapsed="false">
      <c r="A8" s="203"/>
      <c r="B8" s="271" t="s">
        <v>249</v>
      </c>
      <c r="C8" s="271"/>
      <c r="D8" s="272" t="s">
        <v>250</v>
      </c>
      <c r="E8" s="156"/>
      <c r="F8" s="156"/>
      <c r="G8" s="156"/>
      <c r="H8" s="156"/>
      <c r="I8" s="156"/>
      <c r="J8" s="156"/>
      <c r="K8" s="157"/>
      <c r="L8" s="1" t="n">
        <f aca="false">L7+1</f>
        <v>4</v>
      </c>
    </row>
    <row r="9" customFormat="false" ht="12.75" hidden="false" customHeight="false" outlineLevel="0" collapsed="false">
      <c r="A9" s="166" t="s">
        <v>251</v>
      </c>
      <c r="B9" s="171" t="n">
        <f aca="false">COST</f>
        <v>13000</v>
      </c>
      <c r="C9" s="171"/>
      <c r="D9" s="171" t="n">
        <f aca="false">COST</f>
        <v>13000</v>
      </c>
      <c r="E9" s="25"/>
      <c r="F9" s="25"/>
      <c r="G9" s="25"/>
      <c r="H9" s="25"/>
      <c r="I9" s="25"/>
      <c r="J9" s="25"/>
      <c r="K9" s="165"/>
      <c r="L9" s="1" t="n">
        <f aca="false">L8+1</f>
        <v>5</v>
      </c>
    </row>
    <row r="10" customFormat="false" ht="12.75" hidden="false" customHeight="false" outlineLevel="0" collapsed="false">
      <c r="A10" s="166" t="s">
        <v>104</v>
      </c>
      <c r="B10" s="80"/>
      <c r="C10" s="80"/>
      <c r="D10" s="273" t="n">
        <f aca="false">ASS!V31</f>
        <v>0</v>
      </c>
      <c r="E10" s="25"/>
      <c r="F10" s="25"/>
      <c r="G10" s="25"/>
      <c r="H10" s="25"/>
      <c r="I10" s="25"/>
      <c r="J10" s="25"/>
      <c r="K10" s="165"/>
      <c r="L10" s="1" t="n">
        <f aca="false">L9+1</f>
        <v>6</v>
      </c>
    </row>
    <row r="11" customFormat="false" ht="12.75" hidden="false" customHeight="false" outlineLevel="0" collapsed="false">
      <c r="A11" s="109" t="s">
        <v>252</v>
      </c>
      <c r="B11" s="274" t="n">
        <f aca="false">ASS!W25</f>
        <v>0</v>
      </c>
      <c r="C11" s="274"/>
      <c r="D11" s="274"/>
      <c r="E11" s="25"/>
      <c r="F11" s="25"/>
      <c r="G11" s="25"/>
      <c r="H11" s="25"/>
      <c r="I11" s="25"/>
      <c r="J11" s="25"/>
      <c r="K11" s="165"/>
      <c r="L11" s="1" t="n">
        <f aca="false">L10+1</f>
        <v>7</v>
      </c>
    </row>
    <row r="12" customFormat="false" ht="12.75" hidden="false" customHeight="false" outlineLevel="0" collapsed="false">
      <c r="A12" s="162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165"/>
      <c r="L12" s="1" t="n">
        <f aca="false">L11+1</f>
        <v>8</v>
      </c>
    </row>
    <row r="13" customFormat="false" ht="12.75" hidden="false" customHeight="false" outlineLevel="0" collapsed="false">
      <c r="A13" s="162"/>
      <c r="B13" s="25"/>
      <c r="C13" s="25"/>
      <c r="D13" s="25"/>
      <c r="E13" s="25"/>
      <c r="F13" s="25"/>
      <c r="G13" s="25"/>
      <c r="H13" s="25"/>
      <c r="I13" s="25"/>
      <c r="J13" s="25"/>
      <c r="K13" s="165"/>
      <c r="L13" s="1" t="n">
        <f aca="false">L12+1</f>
        <v>9</v>
      </c>
    </row>
    <row r="14" customFormat="false" ht="12.75" hidden="false" customHeight="false" outlineLevel="0" collapsed="false">
      <c r="A14" s="275" t="s">
        <v>253</v>
      </c>
      <c r="B14" s="25"/>
      <c r="C14" s="25"/>
      <c r="D14" s="25"/>
      <c r="E14" s="25"/>
      <c r="F14" s="25"/>
      <c r="G14" s="25"/>
      <c r="H14" s="25"/>
      <c r="I14" s="25"/>
      <c r="J14" s="25"/>
      <c r="K14" s="165"/>
      <c r="L14" s="1" t="n">
        <f aca="false">L13+1</f>
        <v>10</v>
      </c>
    </row>
    <row r="15" customFormat="false" ht="12.75" hidden="false" customHeight="false" outlineLevel="0" collapsed="false">
      <c r="A15" s="162" t="s">
        <v>254</v>
      </c>
      <c r="B15" s="25"/>
      <c r="C15" s="25"/>
      <c r="D15" s="25"/>
      <c r="E15" s="276" t="n">
        <v>0</v>
      </c>
      <c r="F15" s="64" t="n">
        <f aca="false">E17</f>
        <v>403</v>
      </c>
      <c r="G15" s="64" t="n">
        <f aca="false">F17</f>
        <v>3068</v>
      </c>
      <c r="H15" s="64" t="n">
        <f aca="false">G17</f>
        <v>3068</v>
      </c>
      <c r="I15" s="64" t="n">
        <f aca="false">H17</f>
        <v>3887</v>
      </c>
      <c r="J15" s="64" t="n">
        <f aca="false">I17</f>
        <v>12987</v>
      </c>
      <c r="K15" s="165"/>
      <c r="L15" s="1" t="n">
        <f aca="false">L14+1</f>
        <v>11</v>
      </c>
    </row>
    <row r="16" customFormat="false" ht="12.75" hidden="false" customHeight="false" outlineLevel="0" collapsed="false">
      <c r="A16" s="162" t="s">
        <v>255</v>
      </c>
      <c r="B16" s="25"/>
      <c r="C16" s="25"/>
      <c r="D16" s="25"/>
      <c r="E16" s="64" t="n">
        <f aca="false">VLOOKUP(E4,DRAW_TABLE,DRAWDOWN!$F$72)</f>
        <v>403</v>
      </c>
      <c r="F16" s="64" t="n">
        <f aca="false">VLOOKUP(F4,DRAW_TABLE,DRAWDOWN!$F$72)</f>
        <v>2665</v>
      </c>
      <c r="G16" s="64" t="n">
        <f aca="false">VLOOKUP(G4,DRAW_TABLE,DRAWDOWN!$F$72)</f>
        <v>0</v>
      </c>
      <c r="H16" s="64" t="n">
        <f aca="false">VLOOKUP(H4,DRAW_TABLE,DRAWDOWN!$F$72)</f>
        <v>819</v>
      </c>
      <c r="I16" s="64" t="n">
        <f aca="false">VLOOKUP(I4,DRAW_TABLE,DRAWDOWN!$F$72)</f>
        <v>9100</v>
      </c>
      <c r="J16" s="64" t="n">
        <f aca="false">VLOOKUP(J4,DRAW_TABLE,DRAWDOWN!$F$72)</f>
        <v>0</v>
      </c>
      <c r="K16" s="170" t="n">
        <f aca="false">SUM(E16:J16)</f>
        <v>12987</v>
      </c>
      <c r="L16" s="1" t="n">
        <f aca="false">L15+1</f>
        <v>12</v>
      </c>
    </row>
    <row r="17" customFormat="false" ht="12.75" hidden="false" customHeight="false" outlineLevel="0" collapsed="false">
      <c r="A17" s="162" t="s">
        <v>256</v>
      </c>
      <c r="B17" s="25"/>
      <c r="C17" s="25"/>
      <c r="D17" s="25"/>
      <c r="E17" s="64" t="n">
        <f aca="false">SUM(E15:E16)</f>
        <v>403</v>
      </c>
      <c r="F17" s="64" t="n">
        <f aca="false">SUM(F15:F16)</f>
        <v>3068</v>
      </c>
      <c r="G17" s="64" t="n">
        <f aca="false">SUM(G15:G16)</f>
        <v>3068</v>
      </c>
      <c r="H17" s="64" t="n">
        <f aca="false">SUM(H15:H16)</f>
        <v>3887</v>
      </c>
      <c r="I17" s="64" t="n">
        <f aca="false">SUM(I15:I16)</f>
        <v>12987</v>
      </c>
      <c r="J17" s="64" t="n">
        <f aca="false">SUM(J15:J16)</f>
        <v>12987</v>
      </c>
      <c r="K17" s="165"/>
      <c r="L17" s="1" t="n">
        <f aca="false">L16+1</f>
        <v>13</v>
      </c>
    </row>
    <row r="18" customFormat="false" ht="12.75" hidden="false" customHeight="false" outlineLevel="0" collapsed="false">
      <c r="A18" s="162" t="s">
        <v>257</v>
      </c>
      <c r="B18" s="25"/>
      <c r="C18" s="25"/>
      <c r="D18" s="25"/>
      <c r="E18" s="277" t="n">
        <f aca="false">SUM($E$16:E16)/$B$9</f>
        <v>0.031</v>
      </c>
      <c r="F18" s="277" t="n">
        <f aca="false">SUM($E$16:F16)/$B$9</f>
        <v>0.236</v>
      </c>
      <c r="G18" s="277" t="n">
        <f aca="false">SUM($E$16:G16)/$B$9</f>
        <v>0.236</v>
      </c>
      <c r="H18" s="277" t="n">
        <f aca="false">SUM($E$16:H16)/$B$9</f>
        <v>0.299</v>
      </c>
      <c r="I18" s="277" t="n">
        <f aca="false">SUM($E$16:I16)/$B$9</f>
        <v>0.999</v>
      </c>
      <c r="J18" s="277" t="n">
        <f aca="false">SUM($E$16:J16)/$B$9</f>
        <v>0.999</v>
      </c>
      <c r="K18" s="165"/>
      <c r="L18" s="1" t="n">
        <f aca="false">L17+1</f>
        <v>14</v>
      </c>
    </row>
    <row r="19" customFormat="false" ht="12.75" hidden="false" customHeight="false" outlineLevel="0" collapsed="false">
      <c r="A19" s="162" t="s">
        <v>258</v>
      </c>
      <c r="B19" s="25"/>
      <c r="C19" s="25"/>
      <c r="D19" s="25"/>
      <c r="E19" s="277" t="n">
        <f aca="false">E17/$D$9</f>
        <v>0.031</v>
      </c>
      <c r="F19" s="277" t="n">
        <f aca="false">F17/$D$9</f>
        <v>0.236</v>
      </c>
      <c r="G19" s="277" t="n">
        <f aca="false">G17/$D$9</f>
        <v>0.236</v>
      </c>
      <c r="H19" s="277" t="n">
        <f aca="false">H17/$D$9</f>
        <v>0.299</v>
      </c>
      <c r="I19" s="277" t="n">
        <f aca="false">I17/$D$9</f>
        <v>0.999</v>
      </c>
      <c r="J19" s="277" t="n">
        <f aca="false">J17/$D$9</f>
        <v>0.999</v>
      </c>
      <c r="K19" s="165"/>
      <c r="L19" s="1" t="n">
        <f aca="false">L18+1</f>
        <v>15</v>
      </c>
    </row>
    <row r="20" customFormat="false" ht="12.75" hidden="false" customHeight="false" outlineLevel="0" collapsed="false">
      <c r="A20" s="162"/>
      <c r="B20" s="25"/>
      <c r="C20" s="25"/>
      <c r="D20" s="25"/>
      <c r="E20" s="25"/>
      <c r="F20" s="25"/>
      <c r="G20" s="25"/>
      <c r="H20" s="25"/>
      <c r="I20" s="25"/>
      <c r="J20" s="25"/>
      <c r="K20" s="165"/>
      <c r="L20" s="1" t="n">
        <f aca="false">L19+1</f>
        <v>16</v>
      </c>
    </row>
    <row r="21" customFormat="false" ht="12.75" hidden="false" customHeight="false" outlineLevel="0" collapsed="false">
      <c r="A21" s="275" t="s">
        <v>259</v>
      </c>
      <c r="B21" s="25"/>
      <c r="C21" s="25"/>
      <c r="D21" s="25"/>
      <c r="E21" s="25"/>
      <c r="F21" s="25"/>
      <c r="G21" s="25"/>
      <c r="H21" s="25"/>
      <c r="I21" s="25"/>
      <c r="J21" s="25"/>
      <c r="K21" s="165"/>
      <c r="L21" s="1" t="n">
        <f aca="false">L20+1</f>
        <v>17</v>
      </c>
    </row>
    <row r="22" customFormat="false" ht="12.75" hidden="false" customHeight="false" outlineLevel="0" collapsed="false">
      <c r="A22" s="162" t="s">
        <v>260</v>
      </c>
      <c r="B22" s="25"/>
      <c r="C22" s="25"/>
      <c r="D22" s="25"/>
      <c r="E22" s="64" t="n">
        <f aca="false">E15*DEBTPERC</f>
        <v>0</v>
      </c>
      <c r="F22" s="64" t="n">
        <f aca="false">F15*DEBTPERC</f>
        <v>0</v>
      </c>
      <c r="G22" s="64" t="n">
        <f aca="false">G15*DEBTPERC</f>
        <v>0</v>
      </c>
      <c r="H22" s="64" t="n">
        <f aca="false">H15*DEBTPERC</f>
        <v>0</v>
      </c>
      <c r="I22" s="64" t="n">
        <f aca="false">I15*DEBTPERC</f>
        <v>0</v>
      </c>
      <c r="J22" s="64" t="n">
        <f aca="false">J15*DEBTPERC</f>
        <v>0</v>
      </c>
      <c r="K22" s="165"/>
      <c r="L22" s="1" t="n">
        <f aca="false">L21+1</f>
        <v>18</v>
      </c>
    </row>
    <row r="23" customFormat="false" ht="12.75" hidden="false" customHeight="false" outlineLevel="0" collapsed="false">
      <c r="A23" s="162" t="s">
        <v>261</v>
      </c>
      <c r="B23" s="25"/>
      <c r="C23" s="25"/>
      <c r="D23" s="25"/>
      <c r="E23" s="64" t="n">
        <f aca="false">E16*DEBTPERC</f>
        <v>0</v>
      </c>
      <c r="F23" s="64" t="n">
        <f aca="false">F16*DEBTPERC</f>
        <v>0</v>
      </c>
      <c r="G23" s="64" t="n">
        <f aca="false">G16*DEBTPERC</f>
        <v>0</v>
      </c>
      <c r="H23" s="64" t="n">
        <f aca="false">H16*DEBTPERC</f>
        <v>0</v>
      </c>
      <c r="I23" s="64" t="n">
        <f aca="false">I16*DEBTPERC</f>
        <v>0</v>
      </c>
      <c r="J23" s="64" t="n">
        <f aca="false">J16*DEBTPERC</f>
        <v>0</v>
      </c>
      <c r="K23" s="170" t="n">
        <f aca="false">SUM(E23:J23)</f>
        <v>0</v>
      </c>
      <c r="L23" s="1" t="n">
        <f aca="false">L22+1</f>
        <v>19</v>
      </c>
    </row>
    <row r="24" customFormat="false" ht="12.75" hidden="false" customHeight="false" outlineLevel="0" collapsed="false">
      <c r="A24" s="162" t="s">
        <v>262</v>
      </c>
      <c r="B24" s="25"/>
      <c r="C24" s="25"/>
      <c r="D24" s="25"/>
      <c r="E24" s="64" t="n">
        <f aca="false">SUM(E22:E23)</f>
        <v>0</v>
      </c>
      <c r="F24" s="64" t="n">
        <f aca="false">SUM(F22:F23)</f>
        <v>0</v>
      </c>
      <c r="G24" s="64" t="n">
        <f aca="false">SUM(G22:G23)</f>
        <v>0</v>
      </c>
      <c r="H24" s="64" t="n">
        <f aca="false">SUM(H22:H23)</f>
        <v>0</v>
      </c>
      <c r="I24" s="64" t="n">
        <f aca="false">SUM(I22:I23)</f>
        <v>0</v>
      </c>
      <c r="J24" s="64" t="n">
        <f aca="false">SUM(J22:J23)</f>
        <v>0</v>
      </c>
      <c r="K24" s="165"/>
      <c r="L24" s="1" t="n">
        <f aca="false">L23+1</f>
        <v>20</v>
      </c>
    </row>
    <row r="25" customFormat="false" ht="12.75" hidden="false" customHeight="false" outlineLevel="0" collapsed="false">
      <c r="A25" s="162"/>
      <c r="B25" s="25"/>
      <c r="C25" s="25"/>
      <c r="D25" s="25"/>
      <c r="E25" s="64"/>
      <c r="F25" s="64"/>
      <c r="G25" s="64"/>
      <c r="H25" s="64"/>
      <c r="I25" s="64"/>
      <c r="J25" s="64"/>
      <c r="K25" s="165"/>
      <c r="L25" s="1" t="n">
        <f aca="false">L24+1</f>
        <v>21</v>
      </c>
    </row>
    <row r="26" customFormat="false" ht="12.75" hidden="false" customHeight="false" outlineLevel="0" collapsed="false">
      <c r="A26" s="162" t="s">
        <v>263</v>
      </c>
      <c r="B26" s="25"/>
      <c r="C26" s="25"/>
      <c r="D26" s="25"/>
      <c r="E26" s="64" t="n">
        <f aca="false">IF(E4&gt;TERM_C,0,(E15+SUM(E15:E16))/2*$D$10/12)</f>
        <v>0</v>
      </c>
      <c r="F26" s="64" t="n">
        <f aca="false">IF(F4&gt;TERM_C,0,(F15+SUM(F15:F16))/2*$D$10/12)</f>
        <v>0</v>
      </c>
      <c r="G26" s="64" t="n">
        <f aca="false">IF(G4&gt;TERM_C,0,(G15+SUM(G15:G16))/2*$D$10/12)</f>
        <v>0</v>
      </c>
      <c r="H26" s="64" t="n">
        <f aca="false">IF(H4&gt;TERM_C,0,(H15+SUM(H15:H16))/2*$D$10/12)</f>
        <v>0</v>
      </c>
      <c r="I26" s="64" t="n">
        <f aca="false">IF(I4&gt;TERM_C,0,(I15+SUM(I15:I16))/2*$D$10/12)</f>
        <v>0</v>
      </c>
      <c r="J26" s="64" t="n">
        <f aca="false">IF(J4&gt;TERM_C,0,(J15+SUM(J15:J16))/2*$D$10/12)</f>
        <v>0</v>
      </c>
      <c r="K26" s="170" t="n">
        <f aca="false">SUM(E26:J26)</f>
        <v>0</v>
      </c>
      <c r="L26" s="1" t="n">
        <f aca="false">L25+1</f>
        <v>22</v>
      </c>
    </row>
    <row r="27" customFormat="false" ht="12.75" hidden="false" customHeight="false" outlineLevel="0" collapsed="false">
      <c r="A27" s="162"/>
      <c r="B27" s="25"/>
      <c r="C27" s="25"/>
      <c r="D27" s="25"/>
      <c r="E27" s="64"/>
      <c r="F27" s="64"/>
      <c r="G27" s="64"/>
      <c r="H27" s="64"/>
      <c r="I27" s="64"/>
      <c r="J27" s="64"/>
      <c r="K27" s="165"/>
      <c r="L27" s="1" t="n">
        <f aca="false">L26+1</f>
        <v>23</v>
      </c>
    </row>
    <row r="28" customFormat="false" ht="12.75" hidden="false" customHeight="false" outlineLevel="0" collapsed="false">
      <c r="A28" s="275" t="s">
        <v>264</v>
      </c>
      <c r="B28" s="25"/>
      <c r="C28" s="25"/>
      <c r="D28" s="25"/>
      <c r="E28" s="64"/>
      <c r="F28" s="64"/>
      <c r="G28" s="64"/>
      <c r="H28" s="64"/>
      <c r="I28" s="64"/>
      <c r="J28" s="64"/>
      <c r="K28" s="165"/>
      <c r="L28" s="1" t="n">
        <f aca="false">L27+1</f>
        <v>24</v>
      </c>
    </row>
    <row r="29" customFormat="false" ht="12.75" hidden="false" customHeight="false" outlineLevel="0" collapsed="false">
      <c r="A29" s="162" t="s">
        <v>265</v>
      </c>
      <c r="B29" s="25"/>
      <c r="C29" s="25"/>
      <c r="D29" s="25"/>
      <c r="E29" s="64" t="n">
        <f aca="false">E15-E22</f>
        <v>0</v>
      </c>
      <c r="F29" s="64" t="n">
        <f aca="false">F15-F22</f>
        <v>403</v>
      </c>
      <c r="G29" s="64" t="n">
        <f aca="false">G15-G22</f>
        <v>3068</v>
      </c>
      <c r="H29" s="64" t="n">
        <f aca="false">H15-H22</f>
        <v>3068</v>
      </c>
      <c r="I29" s="64" t="n">
        <f aca="false">I15-I22</f>
        <v>3887</v>
      </c>
      <c r="J29" s="64" t="n">
        <f aca="false">J15-J22</f>
        <v>12987</v>
      </c>
      <c r="K29" s="165"/>
      <c r="L29" s="1" t="n">
        <f aca="false">L28+1</f>
        <v>25</v>
      </c>
    </row>
    <row r="30" customFormat="false" ht="12.75" hidden="false" customHeight="false" outlineLevel="0" collapsed="false">
      <c r="A30" s="162" t="s">
        <v>266</v>
      </c>
      <c r="B30" s="25"/>
      <c r="C30" s="25"/>
      <c r="D30" s="25"/>
      <c r="E30" s="64" t="n">
        <f aca="false">E16-E23</f>
        <v>403</v>
      </c>
      <c r="F30" s="64" t="n">
        <f aca="false">F16-F23</f>
        <v>2665</v>
      </c>
      <c r="G30" s="64" t="n">
        <f aca="false">G16-G23</f>
        <v>0</v>
      </c>
      <c r="H30" s="64" t="n">
        <f aca="false">H16-H23</f>
        <v>819</v>
      </c>
      <c r="I30" s="64" t="n">
        <f aca="false">I16-I23</f>
        <v>9100</v>
      </c>
      <c r="J30" s="64" t="n">
        <f aca="false">J16-J23</f>
        <v>0</v>
      </c>
      <c r="K30" s="170" t="n">
        <f aca="false">SUM(E30:J30)</f>
        <v>12987</v>
      </c>
      <c r="L30" s="1" t="n">
        <f aca="false">L29+1</f>
        <v>26</v>
      </c>
    </row>
    <row r="31" customFormat="false" ht="12.75" hidden="false" customHeight="false" outlineLevel="0" collapsed="false">
      <c r="A31" s="144" t="s">
        <v>267</v>
      </c>
      <c r="B31" s="110"/>
      <c r="C31" s="110"/>
      <c r="D31" s="110"/>
      <c r="E31" s="229" t="n">
        <f aca="false">E17-E24</f>
        <v>403</v>
      </c>
      <c r="F31" s="229" t="n">
        <f aca="false">F17-F24</f>
        <v>3068</v>
      </c>
      <c r="G31" s="229" t="n">
        <f aca="false">G17-G24</f>
        <v>3068</v>
      </c>
      <c r="H31" s="229" t="n">
        <f aca="false">H17-H24</f>
        <v>3887</v>
      </c>
      <c r="I31" s="229" t="n">
        <f aca="false">I17-I24</f>
        <v>12987</v>
      </c>
      <c r="J31" s="229" t="n">
        <f aca="false">J17-J24</f>
        <v>12987</v>
      </c>
      <c r="K31" s="161"/>
      <c r="L31" s="1" t="n">
        <f aca="false">L30+1</f>
        <v>27</v>
      </c>
    </row>
    <row r="33" customFormat="false" ht="13.5" hidden="false" customHeight="false" outlineLevel="0" collapsed="false">
      <c r="A33" s="278" t="s">
        <v>268</v>
      </c>
      <c r="B33" s="279"/>
      <c r="C33" s="279"/>
      <c r="D33" s="280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269</v>
      </c>
      <c r="B1" s="236"/>
      <c r="C1" s="236"/>
      <c r="D1" s="236"/>
      <c r="E1" s="199"/>
    </row>
    <row r="2" customFormat="false" ht="15.75" hidden="false" customHeight="false" outlineLevel="0" collapsed="false">
      <c r="A2" s="153" t="n">
        <f aca="false">ASS!A4</f>
        <v>0</v>
      </c>
      <c r="B2" s="58"/>
      <c r="C2" s="58"/>
      <c r="D2" s="58"/>
      <c r="E2" s="200"/>
      <c r="G2" s="198"/>
      <c r="H2" s="198"/>
    </row>
    <row r="3" customFormat="false" ht="12.75" hidden="false" customHeight="false" outlineLevel="0" collapsed="false">
      <c r="A3" s="155" t="s">
        <v>169</v>
      </c>
      <c r="B3" s="156"/>
      <c r="C3" s="156"/>
      <c r="D3" s="156" t="n">
        <f aca="false">CF!D3</f>
        <v>1</v>
      </c>
      <c r="E3" s="156" t="n">
        <f aca="false">CF!E3</f>
        <v>2</v>
      </c>
      <c r="F3" s="156" t="n">
        <f aca="false">CF!F3</f>
        <v>3</v>
      </c>
      <c r="G3" s="157"/>
    </row>
    <row r="4" customFormat="false" ht="12.75" hidden="false" customHeight="false" outlineLevel="0" collapsed="false">
      <c r="A4" s="158" t="s">
        <v>170</v>
      </c>
      <c r="B4" s="25"/>
      <c r="C4" s="25"/>
      <c r="D4" s="159" t="n">
        <f aca="false">CF!D4</f>
        <v>2001</v>
      </c>
      <c r="E4" s="159" t="n">
        <f aca="false">CF!E4</f>
        <v>2002</v>
      </c>
      <c r="F4" s="159" t="n">
        <f aca="false">CF!F4</f>
        <v>2003</v>
      </c>
      <c r="G4" s="160" t="s">
        <v>270</v>
      </c>
    </row>
    <row r="5" customFormat="false" ht="12.75" hidden="false" customHeight="false" outlineLevel="0" collapsed="false">
      <c r="A5" s="144" t="s">
        <v>172</v>
      </c>
      <c r="B5" s="110"/>
      <c r="C5" s="110"/>
      <c r="D5" s="110" t="n">
        <f aca="false">CF!D5</f>
        <v>12</v>
      </c>
      <c r="E5" s="110" t="n">
        <f aca="false">CF!E5</f>
        <v>12</v>
      </c>
      <c r="F5" s="110" t="n">
        <f aca="false">CF!F5</f>
        <v>12</v>
      </c>
      <c r="G5" s="161"/>
    </row>
    <row r="6" customFormat="false" ht="12.75" hidden="false" customHeight="false" outlineLevel="0" collapsed="false">
      <c r="AD6" s="25"/>
    </row>
    <row r="7" customFormat="false" ht="12.75" hidden="false" customHeight="false" outlineLevel="0" collapsed="false">
      <c r="A7" s="281" t="s">
        <v>271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7"/>
    </row>
    <row r="8" customFormat="false" ht="12.75" hidden="false" customHeight="false" outlineLevel="0" collapsed="false">
      <c r="A8" s="282" t="s">
        <v>272</v>
      </c>
      <c r="B8" s="25"/>
      <c r="C8" s="25"/>
      <c r="D8" s="64" t="e">
        <f aca="false">VLOOKUP(#REF!,FIN_TABLE,26)</f>
        <v>#REF!</v>
      </c>
      <c r="E8" s="64" t="e">
        <f aca="false">VLOOKUP(#REF!,FIN_TABLE,26)</f>
        <v>#REF!</v>
      </c>
      <c r="F8" s="64" t="e">
        <f aca="false">VLOOKUP(#REF!,FIN_TABLE,26)</f>
        <v>#REF!</v>
      </c>
      <c r="G8" s="64" t="e">
        <f aca="false">VLOOKUP(#REF!,FIN_TABLE,26)</f>
        <v>#REF!</v>
      </c>
      <c r="H8" s="64" t="e">
        <f aca="false">VLOOKUP(#REF!,FIN_TABLE,26)</f>
        <v>#REF!</v>
      </c>
      <c r="I8" s="64" t="e">
        <f aca="false">VLOOKUP(#REF!,FIN_TABLE,26)</f>
        <v>#REF!</v>
      </c>
      <c r="J8" s="64" t="e">
        <f aca="false">VLOOKUP(#REF!,FIN_TABLE,26)</f>
        <v>#REF!</v>
      </c>
      <c r="K8" s="64" t="e">
        <f aca="false">VLOOKUP(#REF!,FIN_TABLE,26)</f>
        <v>#REF!</v>
      </c>
      <c r="L8" s="64" t="e">
        <f aca="false">VLOOKUP(#REF!,FIN_TABLE,26)</f>
        <v>#REF!</v>
      </c>
      <c r="M8" s="64" t="e">
        <f aca="false">VLOOKUP(#REF!,FIN_TABLE,26)</f>
        <v>#REF!</v>
      </c>
      <c r="N8" s="64" t="e">
        <f aca="false">VLOOKUP(#REF!,FIN_TABLE,26)</f>
        <v>#REF!</v>
      </c>
      <c r="O8" s="64" t="e">
        <f aca="false">VLOOKUP(#REF!,FIN_TABLE,26)</f>
        <v>#REF!</v>
      </c>
      <c r="P8" s="64" t="e">
        <f aca="false">VLOOKUP(#REF!,FIN_TABLE,26)</f>
        <v>#REF!</v>
      </c>
      <c r="Q8" s="64" t="e">
        <f aca="false">VLOOKUP(#REF!,FIN_TABLE,26)</f>
        <v>#REF!</v>
      </c>
      <c r="R8" s="64" t="e">
        <f aca="false">VLOOKUP(#REF!,FIN_TABLE,26)</f>
        <v>#REF!</v>
      </c>
      <c r="S8" s="64" t="e">
        <f aca="false">VLOOKUP(#REF!,FIN_TABLE,26)</f>
        <v>#REF!</v>
      </c>
      <c r="T8" s="64" t="e">
        <f aca="false">VLOOKUP(#REF!,FIN_TABLE,26)</f>
        <v>#REF!</v>
      </c>
      <c r="U8" s="64" t="e">
        <f aca="false">VLOOKUP(#REF!,FIN_TABLE,26)</f>
        <v>#REF!</v>
      </c>
      <c r="V8" s="64" t="e">
        <f aca="false">VLOOKUP(#REF!,FIN_TABLE,26)</f>
        <v>#REF!</v>
      </c>
      <c r="W8" s="64" t="e">
        <f aca="false">VLOOKUP(#REF!,FIN_TABLE,26)</f>
        <v>#REF!</v>
      </c>
      <c r="X8" s="64" t="e">
        <f aca="false">VLOOKUP(#REF!,FIN_TABLE,26)</f>
        <v>#REF!</v>
      </c>
      <c r="Y8" s="64" t="e">
        <f aca="false">VLOOKUP(#REF!,FIN_TABLE,26)</f>
        <v>#REF!</v>
      </c>
      <c r="Z8" s="64" t="e">
        <f aca="false">VLOOKUP(#REF!,FIN_TABLE,26)</f>
        <v>#REF!</v>
      </c>
      <c r="AA8" s="64" t="e">
        <f aca="false">VLOOKUP(#REF!,FIN_TABLE,26)</f>
        <v>#REF!</v>
      </c>
      <c r="AB8" s="64" t="e">
        <f aca="false">VLOOKUP(#REF!,FIN_TABLE,26)</f>
        <v>#REF!</v>
      </c>
      <c r="AC8" s="64" t="e">
        <f aca="false">VLOOKUP(#REF!,FIN_TABLE,26)</f>
        <v>#REF!</v>
      </c>
      <c r="AD8" s="170" t="e">
        <f aca="false">SUM(D8:X8)</f>
        <v>#REF!</v>
      </c>
    </row>
    <row r="9" customFormat="false" ht="12.75" hidden="false" customHeight="false" outlineLevel="0" collapsed="false">
      <c r="A9" s="282" t="s">
        <v>273</v>
      </c>
      <c r="B9" s="25"/>
      <c r="C9" s="25"/>
      <c r="D9" s="177" t="e">
        <f aca="false">VLOOKUP(#REF!,FIN_TABLE,27)</f>
        <v>#REF!</v>
      </c>
      <c r="E9" s="177" t="e">
        <f aca="false">VLOOKUP(#REF!,FIN_TABLE,27)</f>
        <v>#REF!</v>
      </c>
      <c r="F9" s="177" t="e">
        <f aca="false">VLOOKUP(#REF!,FIN_TABLE,27)</f>
        <v>#REF!</v>
      </c>
      <c r="G9" s="177" t="e">
        <f aca="false">VLOOKUP(#REF!,FIN_TABLE,27)</f>
        <v>#REF!</v>
      </c>
      <c r="H9" s="177" t="e">
        <f aca="false">VLOOKUP(#REF!,FIN_TABLE,27)</f>
        <v>#REF!</v>
      </c>
      <c r="I9" s="177" t="e">
        <f aca="false">VLOOKUP(#REF!,FIN_TABLE,27)</f>
        <v>#REF!</v>
      </c>
      <c r="J9" s="177" t="e">
        <f aca="false">VLOOKUP(#REF!,FIN_TABLE,27)</f>
        <v>#REF!</v>
      </c>
      <c r="K9" s="177" t="e">
        <f aca="false">VLOOKUP(#REF!,FIN_TABLE,27)</f>
        <v>#REF!</v>
      </c>
      <c r="L9" s="177" t="e">
        <f aca="false">VLOOKUP(#REF!,FIN_TABLE,27)</f>
        <v>#REF!</v>
      </c>
      <c r="M9" s="177" t="e">
        <f aca="false">VLOOKUP(#REF!,FIN_TABLE,27)</f>
        <v>#REF!</v>
      </c>
      <c r="N9" s="177" t="e">
        <f aca="false">VLOOKUP(#REF!,FIN_TABLE,27)</f>
        <v>#REF!</v>
      </c>
      <c r="O9" s="177" t="e">
        <f aca="false">VLOOKUP(#REF!,FIN_TABLE,27)</f>
        <v>#REF!</v>
      </c>
      <c r="P9" s="177" t="e">
        <f aca="false">VLOOKUP(#REF!,FIN_TABLE,27)</f>
        <v>#REF!</v>
      </c>
      <c r="Q9" s="177" t="e">
        <f aca="false">VLOOKUP(#REF!,FIN_TABLE,27)</f>
        <v>#REF!</v>
      </c>
      <c r="R9" s="177" t="e">
        <f aca="false">VLOOKUP(#REF!,FIN_TABLE,27)</f>
        <v>#REF!</v>
      </c>
      <c r="S9" s="177" t="e">
        <f aca="false">VLOOKUP(#REF!,FIN_TABLE,27)</f>
        <v>#REF!</v>
      </c>
      <c r="T9" s="177" t="e">
        <f aca="false">VLOOKUP(#REF!,FIN_TABLE,27)</f>
        <v>#REF!</v>
      </c>
      <c r="U9" s="177" t="e">
        <f aca="false">VLOOKUP(#REF!,FIN_TABLE,27)</f>
        <v>#REF!</v>
      </c>
      <c r="V9" s="177" t="e">
        <f aca="false">VLOOKUP(#REF!,FIN_TABLE,27)</f>
        <v>#REF!</v>
      </c>
      <c r="W9" s="177" t="e">
        <f aca="false">VLOOKUP(#REF!,FIN_TABLE,27)</f>
        <v>#REF!</v>
      </c>
      <c r="X9" s="177" t="e">
        <f aca="false">VLOOKUP(#REF!,FIN_TABLE,27)</f>
        <v>#REF!</v>
      </c>
      <c r="Y9" s="177" t="e">
        <f aca="false">VLOOKUP(#REF!,FIN_TABLE,27)</f>
        <v>#REF!</v>
      </c>
      <c r="Z9" s="177" t="e">
        <f aca="false">VLOOKUP(#REF!,FIN_TABLE,27)</f>
        <v>#REF!</v>
      </c>
      <c r="AA9" s="177" t="e">
        <f aca="false">VLOOKUP(#REF!,FIN_TABLE,27)</f>
        <v>#REF!</v>
      </c>
      <c r="AB9" s="177" t="e">
        <f aca="false">VLOOKUP(#REF!,FIN_TABLE,27)</f>
        <v>#REF!</v>
      </c>
      <c r="AC9" s="177" t="e">
        <f aca="false">VLOOKUP(#REF!,FIN_TABLE,27)</f>
        <v>#REF!</v>
      </c>
      <c r="AD9" s="178" t="e">
        <f aca="false">SUM(D9:X9)</f>
        <v>#REF!</v>
      </c>
      <c r="AE9" s="5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3" t="s">
        <v>274</v>
      </c>
      <c r="B10" s="284"/>
      <c r="C10" s="284"/>
      <c r="D10" s="285" t="e">
        <f aca="false">SUM(D8:D9)</f>
        <v>#REF!</v>
      </c>
      <c r="E10" s="285" t="e">
        <f aca="false">SUM(E8:E9)</f>
        <v>#REF!</v>
      </c>
      <c r="F10" s="285" t="e">
        <f aca="false">SUM(F8:F9)</f>
        <v>#REF!</v>
      </c>
      <c r="G10" s="285" t="e">
        <f aca="false">SUM(G8:G9)</f>
        <v>#REF!</v>
      </c>
      <c r="H10" s="285" t="e">
        <f aca="false">SUM(H8:H9)</f>
        <v>#REF!</v>
      </c>
      <c r="I10" s="285" t="e">
        <f aca="false">SUM(I8:I9)</f>
        <v>#REF!</v>
      </c>
      <c r="J10" s="285" t="e">
        <f aca="false">SUM(J8:J9)</f>
        <v>#REF!</v>
      </c>
      <c r="K10" s="285" t="e">
        <f aca="false">SUM(K8:K9)</f>
        <v>#REF!</v>
      </c>
      <c r="L10" s="285" t="e">
        <f aca="false">SUM(L8:L9)</f>
        <v>#REF!</v>
      </c>
      <c r="M10" s="285" t="e">
        <f aca="false">SUM(M8:M9)</f>
        <v>#REF!</v>
      </c>
      <c r="N10" s="285" t="e">
        <f aca="false">SUM(N8:N9)</f>
        <v>#REF!</v>
      </c>
      <c r="O10" s="285" t="e">
        <f aca="false">SUM(O8:O9)</f>
        <v>#REF!</v>
      </c>
      <c r="P10" s="285" t="e">
        <f aca="false">SUM(P8:P9)</f>
        <v>#REF!</v>
      </c>
      <c r="Q10" s="285" t="e">
        <f aca="false">SUM(Q8:Q9)</f>
        <v>#REF!</v>
      </c>
      <c r="R10" s="285" t="e">
        <f aca="false">SUM(R8:R9)</f>
        <v>#REF!</v>
      </c>
      <c r="S10" s="285" t="e">
        <f aca="false">SUM(S8:S9)</f>
        <v>#REF!</v>
      </c>
      <c r="T10" s="285" t="e">
        <f aca="false">SUM(T8:T9)</f>
        <v>#REF!</v>
      </c>
      <c r="U10" s="285" t="e">
        <f aca="false">SUM(U8:U9)</f>
        <v>#REF!</v>
      </c>
      <c r="V10" s="285" t="e">
        <f aca="false">SUM(V8:V9)</f>
        <v>#REF!</v>
      </c>
      <c r="W10" s="285" t="e">
        <f aca="false">SUM(W8:W9)</f>
        <v>#REF!</v>
      </c>
      <c r="X10" s="285" t="e">
        <f aca="false">SUM(X8:X9)</f>
        <v>#REF!</v>
      </c>
      <c r="Y10" s="285" t="e">
        <f aca="false">SUM(Y8:Y9)</f>
        <v>#REF!</v>
      </c>
      <c r="Z10" s="285" t="e">
        <f aca="false">SUM(Z8:Z9)</f>
        <v>#REF!</v>
      </c>
      <c r="AA10" s="285" t="e">
        <f aca="false">SUM(AA8:AA9)</f>
        <v>#REF!</v>
      </c>
      <c r="AB10" s="285" t="e">
        <f aca="false">SUM(AB8:AB9)</f>
        <v>#REF!</v>
      </c>
      <c r="AC10" s="285" t="e">
        <f aca="false">SUM(AC8:AC9)</f>
        <v>#REF!</v>
      </c>
      <c r="AD10" s="286" t="e">
        <f aca="false">SUM(AD8:AD9)</f>
        <v>#REF!</v>
      </c>
    </row>
    <row r="13" customFormat="false" ht="12.75" hidden="false" customHeight="false" outlineLevel="0" collapsed="false">
      <c r="A13" s="281" t="s">
        <v>275</v>
      </c>
      <c r="B13" s="240"/>
      <c r="C13" s="287" t="e">
        <f aca="false">#REF!</f>
        <v>#REF!</v>
      </c>
      <c r="D13" s="287"/>
      <c r="E13" s="287"/>
      <c r="F13" s="287"/>
      <c r="G13" s="287" t="e">
        <f aca="false">#REF!</f>
        <v>#REF!</v>
      </c>
      <c r="H13" s="287"/>
      <c r="I13" s="287"/>
      <c r="J13" s="287"/>
      <c r="K13" s="287" t="e">
        <f aca="false">#REF!</f>
        <v>#REF!</v>
      </c>
      <c r="L13" s="287"/>
      <c r="M13" s="287"/>
      <c r="N13" s="287"/>
      <c r="O13" s="287" t="e">
        <f aca="false">#REF!</f>
        <v>#REF!</v>
      </c>
      <c r="P13" s="287"/>
      <c r="Q13" s="287"/>
      <c r="R13" s="287"/>
      <c r="S13" s="287" t="e">
        <f aca="false">#REF!</f>
        <v>#REF!</v>
      </c>
      <c r="T13" s="287"/>
      <c r="U13" s="287"/>
      <c r="V13" s="287"/>
      <c r="W13" s="287" t="e">
        <f aca="false">#REF!</f>
        <v>#REF!</v>
      </c>
      <c r="X13" s="287"/>
      <c r="Y13" s="287"/>
      <c r="Z13" s="287"/>
      <c r="AA13" s="156"/>
      <c r="AB13" s="240"/>
    </row>
    <row r="14" customFormat="false" ht="12.75" hidden="false" customHeight="false" outlineLevel="0" collapsed="false">
      <c r="A14" s="288" t="s">
        <v>276</v>
      </c>
      <c r="B14" s="163"/>
      <c r="C14" s="162" t="s">
        <v>5</v>
      </c>
      <c r="D14" s="25"/>
      <c r="E14" s="33" t="e">
        <f aca="false">#REF!</f>
        <v>#REF!</v>
      </c>
      <c r="F14" s="163"/>
      <c r="G14" s="162" t="s">
        <v>5</v>
      </c>
      <c r="H14" s="25"/>
      <c r="I14" s="33" t="e">
        <f aca="false">#REF!</f>
        <v>#REF!</v>
      </c>
      <c r="J14" s="33"/>
      <c r="K14" s="162" t="s">
        <v>5</v>
      </c>
      <c r="L14" s="25"/>
      <c r="M14" s="253" t="e">
        <f aca="false">#REF!</f>
        <v>#REF!</v>
      </c>
      <c r="N14" s="253"/>
      <c r="O14" s="162" t="s">
        <v>5</v>
      </c>
      <c r="P14" s="25"/>
      <c r="Q14" s="253" t="e">
        <f aca="false">#REF!</f>
        <v>#REF!</v>
      </c>
      <c r="R14" s="163"/>
      <c r="S14" s="162" t="s">
        <v>5</v>
      </c>
      <c r="T14" s="25"/>
      <c r="U14" s="253" t="e">
        <f aca="false">#REF!</f>
        <v>#REF!</v>
      </c>
      <c r="V14" s="163"/>
      <c r="W14" s="162" t="s">
        <v>5</v>
      </c>
      <c r="X14" s="25"/>
      <c r="Y14" s="33" t="e">
        <f aca="false">#REF!</f>
        <v>#REF!</v>
      </c>
      <c r="Z14" s="163"/>
      <c r="AA14" s="25"/>
      <c r="AB14" s="163"/>
    </row>
    <row r="15" customFormat="false" ht="12.75" hidden="false" customHeight="false" outlineLevel="0" collapsed="false">
      <c r="A15" s="162"/>
      <c r="B15" s="163"/>
      <c r="C15" s="162" t="s">
        <v>277</v>
      </c>
      <c r="D15" s="25"/>
      <c r="E15" s="25" t="e">
        <f aca="false">#REF!</f>
        <v>#REF!</v>
      </c>
      <c r="F15" s="163" t="s">
        <v>278</v>
      </c>
      <c r="G15" s="162" t="s">
        <v>277</v>
      </c>
      <c r="H15" s="25"/>
      <c r="I15" s="25" t="e">
        <f aca="false">#REF!</f>
        <v>#REF!</v>
      </c>
      <c r="J15" s="163" t="s">
        <v>278</v>
      </c>
      <c r="K15" s="162" t="s">
        <v>277</v>
      </c>
      <c r="L15" s="25"/>
      <c r="M15" s="25" t="e">
        <f aca="false">#REF!</f>
        <v>#REF!</v>
      </c>
      <c r="N15" s="163" t="s">
        <v>278</v>
      </c>
      <c r="O15" s="162" t="s">
        <v>277</v>
      </c>
      <c r="P15" s="25"/>
      <c r="Q15" s="25" t="e">
        <f aca="false">#REF!</f>
        <v>#REF!</v>
      </c>
      <c r="R15" s="163" t="s">
        <v>278</v>
      </c>
      <c r="S15" s="162" t="s">
        <v>277</v>
      </c>
      <c r="T15" s="25"/>
      <c r="U15" s="25" t="e">
        <f aca="false">#REF!</f>
        <v>#REF!</v>
      </c>
      <c r="V15" s="163" t="s">
        <v>278</v>
      </c>
      <c r="W15" s="162" t="s">
        <v>277</v>
      </c>
      <c r="X15" s="25"/>
      <c r="Y15" s="25" t="e">
        <f aca="false">#REF!</f>
        <v>#REF!</v>
      </c>
      <c r="Z15" s="163" t="s">
        <v>278</v>
      </c>
      <c r="AA15" s="25"/>
      <c r="AB15" s="163"/>
    </row>
    <row r="16" customFormat="false" ht="12.75" hidden="false" customHeight="false" outlineLevel="0" collapsed="false">
      <c r="A16" s="162"/>
      <c r="B16" s="163"/>
      <c r="C16" s="162" t="s">
        <v>104</v>
      </c>
      <c r="D16" s="25"/>
      <c r="E16" s="60" t="e">
        <f aca="false">#REF!</f>
        <v>#REF!</v>
      </c>
      <c r="F16" s="163"/>
      <c r="G16" s="162" t="s">
        <v>104</v>
      </c>
      <c r="H16" s="25"/>
      <c r="I16" s="60" t="e">
        <f aca="false">#REF!</f>
        <v>#REF!</v>
      </c>
      <c r="J16" s="163"/>
      <c r="K16" s="162" t="s">
        <v>104</v>
      </c>
      <c r="L16" s="25"/>
      <c r="M16" s="60" t="e">
        <f aca="false">#REF!</f>
        <v>#REF!</v>
      </c>
      <c r="N16" s="163"/>
      <c r="O16" s="162" t="s">
        <v>104</v>
      </c>
      <c r="P16" s="25"/>
      <c r="Q16" s="60" t="e">
        <f aca="false">#REF!</f>
        <v>#REF!</v>
      </c>
      <c r="R16" s="163"/>
      <c r="S16" s="162" t="s">
        <v>104</v>
      </c>
      <c r="T16" s="25"/>
      <c r="U16" s="60" t="e">
        <f aca="false">#REF!</f>
        <v>#REF!</v>
      </c>
      <c r="V16" s="163"/>
      <c r="W16" s="162" t="s">
        <v>104</v>
      </c>
      <c r="X16" s="25"/>
      <c r="Y16" s="60" t="e">
        <f aca="false">#REF!</f>
        <v>#REF!</v>
      </c>
      <c r="Z16" s="163"/>
      <c r="AA16" s="25"/>
      <c r="AB16" s="163"/>
    </row>
    <row r="17" customFormat="false" ht="12.75" hidden="false" customHeight="false" outlineLevel="0" collapsed="false">
      <c r="A17" s="162"/>
      <c r="B17" s="163"/>
      <c r="C17" s="162" t="s">
        <v>279</v>
      </c>
      <c r="D17" s="25"/>
      <c r="E17" s="289" t="e">
        <f aca="false">#REF!</f>
        <v>#REF!</v>
      </c>
      <c r="F17" s="163" t="s">
        <v>280</v>
      </c>
      <c r="G17" s="162" t="s">
        <v>279</v>
      </c>
      <c r="H17" s="25"/>
      <c r="I17" s="289" t="e">
        <f aca="false">#REF!</f>
        <v>#REF!</v>
      </c>
      <c r="J17" s="163" t="s">
        <v>280</v>
      </c>
      <c r="K17" s="162" t="s">
        <v>279</v>
      </c>
      <c r="L17" s="25"/>
      <c r="M17" s="289" t="e">
        <f aca="false">#REF!</f>
        <v>#REF!</v>
      </c>
      <c r="N17" s="163" t="s">
        <v>280</v>
      </c>
      <c r="O17" s="162" t="s">
        <v>279</v>
      </c>
      <c r="P17" s="25"/>
      <c r="Q17" s="289" t="e">
        <f aca="false">#REF!</f>
        <v>#REF!</v>
      </c>
      <c r="R17" s="163" t="s">
        <v>280</v>
      </c>
      <c r="S17" s="162" t="s">
        <v>279</v>
      </c>
      <c r="T17" s="25"/>
      <c r="U17" s="289" t="e">
        <f aca="false">#REF!</f>
        <v>#REF!</v>
      </c>
      <c r="V17" s="163" t="s">
        <v>280</v>
      </c>
      <c r="W17" s="162" t="s">
        <v>279</v>
      </c>
      <c r="X17" s="25"/>
      <c r="Y17" s="289" t="e">
        <f aca="false">#REF!</f>
        <v>#REF!</v>
      </c>
      <c r="Z17" s="163" t="s">
        <v>280</v>
      </c>
      <c r="AA17" s="25"/>
      <c r="AB17" s="163"/>
    </row>
    <row r="18" customFormat="false" ht="12.75" hidden="false" customHeight="false" outlineLevel="0" collapsed="false">
      <c r="A18" s="162"/>
      <c r="B18" s="163"/>
      <c r="C18" s="162" t="e">
        <f aca="false">IF(#REF!=1,"STRAIGHT LINE AMORTIZATION",IF(#REF!=2,"MORTGAGE STYLE AMORTIZATION","CHECK"))</f>
        <v>#REF!</v>
      </c>
      <c r="D18" s="25"/>
      <c r="E18" s="25"/>
      <c r="F18" s="163"/>
      <c r="G18" s="162" t="e">
        <f aca="false">IF(#REF!=1,"STRAIGHT LINE AMORTIZATION",IF(#REF!=2,"MORTGAGE STYLE AMORTIZATION","CHECK"))</f>
        <v>#REF!</v>
      </c>
      <c r="H18" s="25"/>
      <c r="I18" s="25"/>
      <c r="J18" s="163"/>
      <c r="K18" s="162" t="e">
        <f aca="false">IF(#REF!=1,"STRAIGHT LINE AMORTIZATION",IF(#REF!=2,"MORTGAGE STYLE AMORTIZATION","CHECK"))</f>
        <v>#REF!</v>
      </c>
      <c r="L18" s="25"/>
      <c r="M18" s="25"/>
      <c r="N18" s="163"/>
      <c r="O18" s="162" t="e">
        <f aca="false">IF(#REF!=1,"STRAIGHT LINE AMORTIZATION",IF(#REF!=2,"MORTGAGE STYLE AMORTIZATION","CHECK"))</f>
        <v>#REF!</v>
      </c>
      <c r="P18" s="25"/>
      <c r="Q18" s="25"/>
      <c r="R18" s="163"/>
      <c r="S18" s="162" t="e">
        <f aca="false">IF(#REF!=1,"STRAIGHT LINE AMORTIZATION",IF(#REF!=2,"MORTGAGE STYLE AMORTIZATION","CHECK"))</f>
        <v>#REF!</v>
      </c>
      <c r="T18" s="25"/>
      <c r="U18" s="25"/>
      <c r="V18" s="163"/>
      <c r="W18" s="162" t="e">
        <f aca="false">IF(#REF!=1,"STRAIGHT LINE AMORTIZATION",IF(#REF!=2,"MORTGAGE STYLE AMORTIZATION","CHECK"))</f>
        <v>#REF!</v>
      </c>
      <c r="X18" s="25"/>
      <c r="Y18" s="25"/>
      <c r="Z18" s="163"/>
      <c r="AA18" s="81" t="s">
        <v>250</v>
      </c>
      <c r="AB18" s="290" t="s">
        <v>250</v>
      </c>
    </row>
    <row r="19" customFormat="false" ht="12.75" hidden="false" customHeight="false" outlineLevel="0" collapsed="false">
      <c r="A19" s="162"/>
      <c r="B19" s="163"/>
      <c r="C19" s="162"/>
      <c r="D19" s="25"/>
      <c r="E19" s="25"/>
      <c r="F19" s="163"/>
      <c r="G19" s="162"/>
      <c r="H19" s="25"/>
      <c r="I19" s="25"/>
      <c r="J19" s="163"/>
      <c r="K19" s="162"/>
      <c r="L19" s="25"/>
      <c r="M19" s="25"/>
      <c r="N19" s="163"/>
      <c r="O19" s="162"/>
      <c r="P19" s="25"/>
      <c r="Q19" s="25"/>
      <c r="R19" s="163"/>
      <c r="S19" s="162"/>
      <c r="T19" s="25"/>
      <c r="U19" s="25"/>
      <c r="V19" s="163"/>
      <c r="W19" s="162"/>
      <c r="X19" s="25"/>
      <c r="Y19" s="25"/>
      <c r="Z19" s="163"/>
      <c r="AA19" s="25"/>
      <c r="AB19" s="163"/>
    </row>
    <row r="20" customFormat="false" ht="12.75" hidden="false" customHeight="false" outlineLevel="0" collapsed="false">
      <c r="A20" s="248" t="s">
        <v>281</v>
      </c>
      <c r="B20" s="249" t="s">
        <v>282</v>
      </c>
      <c r="C20" s="248" t="s">
        <v>283</v>
      </c>
      <c r="D20" s="31" t="s">
        <v>284</v>
      </c>
      <c r="E20" s="31" t="s">
        <v>285</v>
      </c>
      <c r="F20" s="249" t="s">
        <v>286</v>
      </c>
      <c r="G20" s="248" t="s">
        <v>283</v>
      </c>
      <c r="H20" s="31" t="s">
        <v>284</v>
      </c>
      <c r="I20" s="31" t="s">
        <v>285</v>
      </c>
      <c r="J20" s="249" t="s">
        <v>286</v>
      </c>
      <c r="K20" s="248" t="s">
        <v>283</v>
      </c>
      <c r="L20" s="31" t="s">
        <v>284</v>
      </c>
      <c r="M20" s="31" t="s">
        <v>285</v>
      </c>
      <c r="N20" s="249" t="s">
        <v>286</v>
      </c>
      <c r="O20" s="248" t="s">
        <v>283</v>
      </c>
      <c r="P20" s="31" t="s">
        <v>284</v>
      </c>
      <c r="Q20" s="31" t="s">
        <v>285</v>
      </c>
      <c r="R20" s="249" t="s">
        <v>286</v>
      </c>
      <c r="S20" s="248" t="s">
        <v>283</v>
      </c>
      <c r="T20" s="31" t="s">
        <v>284</v>
      </c>
      <c r="U20" s="31" t="s">
        <v>285</v>
      </c>
      <c r="V20" s="249" t="s">
        <v>286</v>
      </c>
      <c r="W20" s="248" t="s">
        <v>283</v>
      </c>
      <c r="X20" s="31" t="s">
        <v>284</v>
      </c>
      <c r="Y20" s="31" t="s">
        <v>285</v>
      </c>
      <c r="Z20" s="249" t="s">
        <v>286</v>
      </c>
      <c r="AA20" s="31" t="s">
        <v>284</v>
      </c>
      <c r="AB20" s="249" t="s">
        <v>285</v>
      </c>
    </row>
    <row r="21" customFormat="false" ht="12.75" hidden="false" customHeight="false" outlineLevel="0" collapsed="false">
      <c r="A21" s="162" t="n">
        <f aca="false">STARTYR</f>
        <v>2001</v>
      </c>
      <c r="B21" s="163" t="n">
        <f aca="false">IF(MOSYR1&gt;1,0,1)</f>
        <v>0</v>
      </c>
      <c r="C21" s="291" t="e">
        <f aca="false">E14</f>
        <v>#REF!</v>
      </c>
      <c r="D21" s="33" t="e">
        <f aca="false">IF($C21&gt;0,IF(D5&gt;6,C21*(D5-6)/12*E16,0),0)</f>
        <v>#REF!</v>
      </c>
      <c r="E21" s="33" t="e">
        <f aca="false">IF(D5&lt;12,0,IF($E$17&gt;=B21,0,IF(C21&gt;1,IF(#REF!=1,$E$14/(($E$15*2)-$E$17),-PMT($E$16/2,($E$15*2-$E$17),$E$14,0)-D21),0)))</f>
        <v>#REF!</v>
      </c>
      <c r="F21" s="292" t="e">
        <f aca="false">C21-E21</f>
        <v>#REF!</v>
      </c>
      <c r="G21" s="291" t="e">
        <f aca="false">I14</f>
        <v>#REF!</v>
      </c>
      <c r="H21" s="33" t="e">
        <f aca="false">IF($G21&gt;0,IF(D5&gt;6,G21*(D5-6)/12*I16,0),0)</f>
        <v>#REF!</v>
      </c>
      <c r="I21" s="33" t="e">
        <f aca="false">IF(D5&lt;12,0,IF($I$17&gt;=$B21,0,IF(G21&gt;1,IF(#REF!=1,$I$14/(($I$15*2)-$I$17),-PMT($I$16/2,($I$15*2-$I$17),$I$14,0)-H21),0)))</f>
        <v>#REF!</v>
      </c>
      <c r="J21" s="292" t="e">
        <f aca="false">G21-I21</f>
        <v>#REF!</v>
      </c>
      <c r="K21" s="291" t="e">
        <f aca="false">M14</f>
        <v>#REF!</v>
      </c>
      <c r="L21" s="33" t="e">
        <f aca="false">IF($K21&gt;0,IF(D5&gt;6,K21*(D5-6)/12*M16,0),0)</f>
        <v>#REF!</v>
      </c>
      <c r="M21" s="33" t="e">
        <f aca="false">IF(D5&lt;12,0,IF($M$17&gt;=$B21,0,IF(K21&gt;1,IF(#REF!=1,$M$14/(($M$15*2)-$M$17),-PMT($M$16/2,($M$15*2-$M$17),$M$14,0)-L21),0)))</f>
        <v>#REF!</v>
      </c>
      <c r="N21" s="292" t="e">
        <f aca="false">K21-M21</f>
        <v>#REF!</v>
      </c>
      <c r="O21" s="291" t="e">
        <f aca="false">Q14</f>
        <v>#REF!</v>
      </c>
      <c r="P21" s="33" t="e">
        <f aca="false">IF($O21&gt;0,IF(D5&gt;6,O21*(D5-6)/12*Q16,0),0)</f>
        <v>#REF!</v>
      </c>
      <c r="Q21" s="33" t="e">
        <f aca="false">IF(D5&lt;12,0,IF($Q$17&gt;=B21,0,IF(O21&gt;1,IF(#REF!=1,$Q$14/(($Q$15*2)-$Q$17),-PMT($Q$16/2,($Q$15*2-$Q$17),$Q$14,0)-P21),0)))</f>
        <v>#REF!</v>
      </c>
      <c r="R21" s="292" t="e">
        <f aca="false">O21-Q21</f>
        <v>#REF!</v>
      </c>
      <c r="S21" s="291" t="e">
        <f aca="false">U14</f>
        <v>#REF!</v>
      </c>
      <c r="T21" s="33" t="e">
        <f aca="false">IF(S21&gt;0,IF($D5&gt;6,S21*($D5-6)/12*U16,0),0)</f>
        <v>#REF!</v>
      </c>
      <c r="U21" s="33" t="e">
        <f aca="false">IF(D5&lt;12,0,IF($U$17&gt;=B21,0,IF(S21&gt;1,IF(#REF!=1,$U$14/(($U$15*2)-$U$17),-PMT($U$16/2,($U$15*2-$U$17),$U$14,0)-T21),0)))</f>
        <v>#REF!</v>
      </c>
      <c r="V21" s="292" t="e">
        <f aca="false">S21-U21</f>
        <v>#REF!</v>
      </c>
      <c r="W21" s="291" t="e">
        <f aca="false">Y14</f>
        <v>#REF!</v>
      </c>
      <c r="X21" s="33" t="e">
        <f aca="false">IF(W21&gt;0,IF($D5&gt;6,W21*($D5-6)/12*Y16,0),0)</f>
        <v>#REF!</v>
      </c>
      <c r="Y21" s="33" t="e">
        <f aca="false">IF(D5&lt;12,0,IF($Y$17&gt;=B21,0,IF(W21&gt;1,IF(#REF!=1,$Y$14/(($Y$15*2)-$Y$17),-PMT($Y$16/2,($Y$15*2-$Y$17),$Y$14,0)-X21),0)))</f>
        <v>#REF!</v>
      </c>
      <c r="Z21" s="292" t="e">
        <f aca="false">W21-Y21</f>
        <v>#REF!</v>
      </c>
      <c r="AA21" s="33"/>
      <c r="AB21" s="292"/>
    </row>
    <row r="22" customFormat="false" ht="12.75" hidden="false" customHeight="false" outlineLevel="0" collapsed="false">
      <c r="A22" s="144" t="n">
        <f aca="false">A21</f>
        <v>2001</v>
      </c>
      <c r="B22" s="145" t="n">
        <f aca="false">B21+1</f>
        <v>1</v>
      </c>
      <c r="C22" s="293" t="e">
        <f aca="false">F21</f>
        <v>#REF!</v>
      </c>
      <c r="D22" s="294" t="e">
        <f aca="false">IF($D$5&gt;6,C22*$E$16*0.5,C22*E16*$D$5/12)</f>
        <v>#REF!</v>
      </c>
      <c r="E22" s="295" t="e">
        <f aca="false">IF($E$17&gt;=B22,0,IF(C22&gt;1,IF(#REF!=1,$E$14/(($E$15*2)-$E$17),-PMT($E$16/2,($E$15*2-B21),C22,0)-D22),0))</f>
        <v>#REF!</v>
      </c>
      <c r="F22" s="296" t="e">
        <f aca="false">C22-E22</f>
        <v>#REF!</v>
      </c>
      <c r="G22" s="293" t="e">
        <f aca="false">J21</f>
        <v>#REF!</v>
      </c>
      <c r="H22" s="294" t="e">
        <f aca="false">IF($D$5&gt;6,G22*$I$16*0.5,G22*$I$16*$D$5/12)</f>
        <v>#REF!</v>
      </c>
      <c r="I22" s="295" t="e">
        <f aca="false">IF($I$17&gt;=B22,0,IF(G22&gt;1,IF(#REF!=1,$I$14/(($I$15*2)-$I$17),-PMT($I$16/2,($I$15*2-B21),G22,0)-H22),0))</f>
        <v>#REF!</v>
      </c>
      <c r="J22" s="296" t="e">
        <f aca="false">G22-I22</f>
        <v>#REF!</v>
      </c>
      <c r="K22" s="293" t="e">
        <f aca="false">N21</f>
        <v>#REF!</v>
      </c>
      <c r="L22" s="294" t="e">
        <f aca="false">IF($D$5&gt;6,K22*$M$16*0.5,K22*$M$16*$D$5/12)</f>
        <v>#REF!</v>
      </c>
      <c r="M22" s="295" t="e">
        <f aca="false">IF($M$17&gt;=B22,0,IF(K22&gt;1,IF(#REF!=1,$M$14/(($M$15*2)-$M$17),-PMT($M$16/2,($M$15*2-B21),K22,0)-L22),0))</f>
        <v>#REF!</v>
      </c>
      <c r="N22" s="296" t="e">
        <f aca="false">K22-M22</f>
        <v>#REF!</v>
      </c>
      <c r="O22" s="293" t="e">
        <f aca="false">R21</f>
        <v>#REF!</v>
      </c>
      <c r="P22" s="294" t="e">
        <f aca="false">IF($D$5&gt;6,O22*$Q$16*0.5,O22*$Q$16*$D$5/12)</f>
        <v>#REF!</v>
      </c>
      <c r="Q22" s="295" t="e">
        <f aca="false">IF($Q$17&gt;=B22,0,IF(O22&gt;1,IF(#REF!=1,$Q$14/(($Q$15*2)-$Q$17),-PMT($Q$16/2,($Q$15*2-B21),O22,0)-P22),0))</f>
        <v>#REF!</v>
      </c>
      <c r="R22" s="296" t="e">
        <f aca="false">O22-Q22</f>
        <v>#REF!</v>
      </c>
      <c r="S22" s="293" t="e">
        <f aca="false">V21</f>
        <v>#REF!</v>
      </c>
      <c r="T22" s="294" t="e">
        <f aca="false">IF($D$5&gt;6,S22*$U$16*0.5,S22*$U$16*$D$5/12)</f>
        <v>#REF!</v>
      </c>
      <c r="U22" s="295" t="e">
        <f aca="false">IF($U$17&gt;=B22,0,IF(S22&gt;1,IF(#REF!=1,$U$14/(($U$15*2)-$U$17),-PMT($U$16/2,($U$15*2-B21),S22,0)-T22),0))</f>
        <v>#REF!</v>
      </c>
      <c r="V22" s="296" t="e">
        <f aca="false">S22-U22</f>
        <v>#REF!</v>
      </c>
      <c r="W22" s="293" t="e">
        <f aca="false">Z21</f>
        <v>#REF!</v>
      </c>
      <c r="X22" s="294" t="e">
        <f aca="false">IF($D$5&gt;6,W22*$Y$16*0.5,W22*$Y$16*$D$5/12)</f>
        <v>#REF!</v>
      </c>
      <c r="Y22" s="295" t="e">
        <f aca="false">IF($Y$17&gt;=B22,0,IF(W22&gt;1,IF(#REF!=1,$Y$14/(($Y$15*2)-$Y$17),-PMT($Y$16/2,($Y$15*2-B21),W22,0)-X22),0))</f>
        <v>#REF!</v>
      </c>
      <c r="Z22" s="296" t="e">
        <f aca="false">W22-Y22</f>
        <v>#REF!</v>
      </c>
      <c r="AA22" s="294" t="e">
        <f aca="false">SUM(D21:D22,H21:H22,L21:L22,P21:P22,T21:T22,X21:X22)</f>
        <v>#REF!</v>
      </c>
      <c r="AB22" s="296" t="e">
        <f aca="false">SUM(E21:E22,I21:I22,M21:M22,Q21:Q22,U21:U22,Y21:Y22)</f>
        <v>#REF!</v>
      </c>
    </row>
    <row r="23" customFormat="false" ht="12.75" hidden="false" customHeight="false" outlineLevel="0" collapsed="false">
      <c r="A23" s="162" t="n">
        <f aca="false">A21+1</f>
        <v>2002</v>
      </c>
      <c r="B23" s="163" t="n">
        <f aca="false">B22+1</f>
        <v>2</v>
      </c>
      <c r="C23" s="291" t="e">
        <f aca="false">F22</f>
        <v>#REF!</v>
      </c>
      <c r="D23" s="33" t="e">
        <f aca="false">C23*$E$16*0.5</f>
        <v>#REF!</v>
      </c>
      <c r="E23" s="33" t="e">
        <f aca="false">IF($E$17&gt;=B23,0,IF(C23&gt;1,IF(#REF!=1,$E$14/(($E$15*2)-$E$17),-PMT($E$16/2,($E$15*2-B22),C23,0)-D23),0))</f>
        <v>#REF!</v>
      </c>
      <c r="F23" s="292" t="e">
        <f aca="false">C23-E23</f>
        <v>#REF!</v>
      </c>
      <c r="G23" s="291" t="e">
        <f aca="false">J22</f>
        <v>#REF!</v>
      </c>
      <c r="H23" s="33" t="e">
        <f aca="false">G23*$I$16*0.5</f>
        <v>#REF!</v>
      </c>
      <c r="I23" s="33" t="e">
        <f aca="false">IF($I$17&gt;=B23,0,IF(G23&gt;1,IF(#REF!=1,$I$14/(($I$15*2)-$I$17),-PMT($I$16/2,($I$15*2-B22),G23,0)-H23),0))</f>
        <v>#REF!</v>
      </c>
      <c r="J23" s="292" t="e">
        <f aca="false">G23-I23</f>
        <v>#REF!</v>
      </c>
      <c r="K23" s="291" t="e">
        <f aca="false">N22</f>
        <v>#REF!</v>
      </c>
      <c r="L23" s="33" t="e">
        <f aca="false">K23*$M$16*0.5</f>
        <v>#REF!</v>
      </c>
      <c r="M23" s="33" t="e">
        <f aca="false">IF($M$17&gt;=B23,0,IF(K23&gt;1,IF(#REF!=1,$M$14/(($M$15*2)-$M$17),-PMT($M$16/2,($M$15*2-B22),K23,0)-L23),0))</f>
        <v>#REF!</v>
      </c>
      <c r="N23" s="292" t="e">
        <f aca="false">K23-M23</f>
        <v>#REF!</v>
      </c>
      <c r="O23" s="291" t="e">
        <f aca="false">R22</f>
        <v>#REF!</v>
      </c>
      <c r="P23" s="33" t="e">
        <f aca="false">O23*$Q$16*0.5</f>
        <v>#REF!</v>
      </c>
      <c r="Q23" s="33" t="e">
        <f aca="false">IF($Q$17&gt;=B23,0,IF(O23&gt;1,IF(#REF!=1,$Q$14/(($Q$15*2)-$Q$17),-PMT($Q$16/2,($Q$15*2-B22),O23,0)-P23),0))</f>
        <v>#REF!</v>
      </c>
      <c r="R23" s="292" t="e">
        <f aca="false">O23-Q23</f>
        <v>#REF!</v>
      </c>
      <c r="S23" s="291" t="e">
        <f aca="false">V22</f>
        <v>#REF!</v>
      </c>
      <c r="T23" s="33" t="e">
        <f aca="false">S23*$U$16*0.5</f>
        <v>#REF!</v>
      </c>
      <c r="U23" s="33" t="e">
        <f aca="false">IF($U$17&gt;=B23,0,IF(S23&gt;1,IF(#REF!=1,$U$14/(($U$15*2)-$U$17),-PMT($U$16/2,($U$15*2-B22),S23,0)-T23),0))</f>
        <v>#REF!</v>
      </c>
      <c r="V23" s="292" t="e">
        <f aca="false">S23-U23</f>
        <v>#REF!</v>
      </c>
      <c r="W23" s="291" t="e">
        <f aca="false">Z22</f>
        <v>#REF!</v>
      </c>
      <c r="X23" s="33" t="e">
        <f aca="false">W23*$Y$16*0.5</f>
        <v>#REF!</v>
      </c>
      <c r="Y23" s="33" t="e">
        <f aca="false">IF($Y$17&gt;=B23,0,IF(W23&gt;1,IF(#REF!=1,$Y$14/(($Y$15*2)-$Y$17),-PMT($Y$16/2,($Y$15*2-B22),W23,0)-X23),0))</f>
        <v>#REF!</v>
      </c>
      <c r="Z23" s="292" t="e">
        <f aca="false">W23-Y23</f>
        <v>#REF!</v>
      </c>
      <c r="AA23" s="33"/>
      <c r="AB23" s="292"/>
    </row>
    <row r="24" customFormat="false" ht="12.75" hidden="false" customHeight="false" outlineLevel="0" collapsed="false">
      <c r="A24" s="144" t="n">
        <f aca="false">A23</f>
        <v>2002</v>
      </c>
      <c r="B24" s="145" t="n">
        <f aca="false">B23+1</f>
        <v>3</v>
      </c>
      <c r="C24" s="293" t="e">
        <f aca="false">F23</f>
        <v>#REF!</v>
      </c>
      <c r="D24" s="294" t="e">
        <f aca="false">C24*$E$16*0.5</f>
        <v>#REF!</v>
      </c>
      <c r="E24" s="294" t="e">
        <f aca="false">IF($E$17&gt;=B24,0,IF(C24&gt;1,IF(#REF!=1,$E$14/(($E$15*2)-$E$17),-PMT($E$16/2,($E$15*2-B23),C24,0)-D24),0))</f>
        <v>#REF!</v>
      </c>
      <c r="F24" s="296" t="e">
        <f aca="false">C24-E24</f>
        <v>#REF!</v>
      </c>
      <c r="G24" s="293" t="e">
        <f aca="false">J23</f>
        <v>#REF!</v>
      </c>
      <c r="H24" s="294" t="e">
        <f aca="false">G24*$I$16*0.5</f>
        <v>#REF!</v>
      </c>
      <c r="I24" s="294" t="e">
        <f aca="false">IF($I$17&gt;=B24,0,IF(G24&gt;1,IF(#REF!=1,$I$14/(($I$15*2)-$I$17),-PMT($I$16/2,($I$15*2-B23),G24,0)-H24),0))</f>
        <v>#REF!</v>
      </c>
      <c r="J24" s="296" t="e">
        <f aca="false">G24-I24</f>
        <v>#REF!</v>
      </c>
      <c r="K24" s="293" t="e">
        <f aca="false">N23</f>
        <v>#REF!</v>
      </c>
      <c r="L24" s="294" t="e">
        <f aca="false">K24*$M$16*0.5</f>
        <v>#REF!</v>
      </c>
      <c r="M24" s="294" t="e">
        <f aca="false">IF($M$17&gt;=B24,0,IF(K24&gt;1,IF(#REF!=1,$M$14/(($M$15*2)-$M$17),-PMT($M$16/2,($M$15*2-B23),K24,0)-L24),0))</f>
        <v>#REF!</v>
      </c>
      <c r="N24" s="296" t="e">
        <f aca="false">K24-M24</f>
        <v>#REF!</v>
      </c>
      <c r="O24" s="293" t="e">
        <f aca="false">R23</f>
        <v>#REF!</v>
      </c>
      <c r="P24" s="294" t="e">
        <f aca="false">O24*$Q$16*0.5</f>
        <v>#REF!</v>
      </c>
      <c r="Q24" s="294" t="e">
        <f aca="false">IF($Q$17&gt;=B24,0,IF(O24&gt;1,IF(#REF!=1,$Q$14/(($Q$15*2)-$Q$17),-PMT($Q$16/2,($Q$15*2-B23),O24,0)-P24),0))</f>
        <v>#REF!</v>
      </c>
      <c r="R24" s="296" t="e">
        <f aca="false">O24-Q24</f>
        <v>#REF!</v>
      </c>
      <c r="S24" s="293" t="e">
        <f aca="false">V23</f>
        <v>#REF!</v>
      </c>
      <c r="T24" s="294" t="e">
        <f aca="false">S24*$U$16*0.5</f>
        <v>#REF!</v>
      </c>
      <c r="U24" s="294" t="e">
        <f aca="false">IF($U$17&gt;=B24,0,IF(S24&gt;1,IF(#REF!=1,$U$14/(($U$15*2)-$U$17),-PMT($U$16/2,($U$15*2-B23),S24,0)-T24),0))</f>
        <v>#REF!</v>
      </c>
      <c r="V24" s="296" t="e">
        <f aca="false">S24-U24</f>
        <v>#REF!</v>
      </c>
      <c r="W24" s="293" t="e">
        <f aca="false">Z23</f>
        <v>#REF!</v>
      </c>
      <c r="X24" s="294" t="e">
        <f aca="false">W24*$Y$16*0.5</f>
        <v>#REF!</v>
      </c>
      <c r="Y24" s="294" t="e">
        <f aca="false">IF($Y$17&gt;=B24,0,IF(W24&gt;1,IF(#REF!=1,$Y$14/(($Y$15*2)-$Y$17),-PMT($Y$16/2,($Y$15*2-B23),W24,0)-X24),0))</f>
        <v>#REF!</v>
      </c>
      <c r="Z24" s="296" t="e">
        <f aca="false">W24-Y24</f>
        <v>#REF!</v>
      </c>
      <c r="AA24" s="294" t="e">
        <f aca="false">SUM(D23:D24,H23:H24,L23:L24,P23:P24,T23:T24,X23:X24)</f>
        <v>#REF!</v>
      </c>
      <c r="AB24" s="296" t="e">
        <f aca="false">SUM(E23:E24,I23:I24,M23:M24,Q23:Q24,U23:U24,Y23:Y24)</f>
        <v>#REF!</v>
      </c>
    </row>
    <row r="25" customFormat="false" ht="12.75" hidden="false" customHeight="false" outlineLevel="0" collapsed="false">
      <c r="A25" s="162" t="n">
        <f aca="false">A23+1</f>
        <v>2003</v>
      </c>
      <c r="B25" s="163" t="n">
        <f aca="false">B24+1</f>
        <v>4</v>
      </c>
      <c r="C25" s="291" t="e">
        <f aca="false">F24</f>
        <v>#REF!</v>
      </c>
      <c r="D25" s="33" t="e">
        <f aca="false">C25*$E$16*0.5</f>
        <v>#REF!</v>
      </c>
      <c r="E25" s="33" t="e">
        <f aca="false">IF($E$17&gt;=B25,0,IF(C25&gt;1,IF(#REF!=1,$E$14/(($E$15*2)-$E$17),-PMT($E$16/2,($E$15*2-B24),C25,0)-D25),0))</f>
        <v>#REF!</v>
      </c>
      <c r="F25" s="292" t="e">
        <f aca="false">C25-E25</f>
        <v>#REF!</v>
      </c>
      <c r="G25" s="291" t="e">
        <f aca="false">J24</f>
        <v>#REF!</v>
      </c>
      <c r="H25" s="33" t="e">
        <f aca="false">G25*$I$16*0.5</f>
        <v>#REF!</v>
      </c>
      <c r="I25" s="33" t="e">
        <f aca="false">IF($I$17&gt;=B25,0,IF(G25&gt;1,IF(#REF!=1,$I$14/(($I$15*2)-$I$17),-PMT($I$16/2,($I$15*2-B24),G25,0)-H25),0))</f>
        <v>#REF!</v>
      </c>
      <c r="J25" s="292" t="e">
        <f aca="false">G25-I25</f>
        <v>#REF!</v>
      </c>
      <c r="K25" s="291" t="e">
        <f aca="false">N24</f>
        <v>#REF!</v>
      </c>
      <c r="L25" s="33" t="e">
        <f aca="false">K25*$M$16*0.5</f>
        <v>#REF!</v>
      </c>
      <c r="M25" s="33" t="e">
        <f aca="false">IF($M$17&gt;=B25,0,IF(K25&gt;1,IF(#REF!=1,$M$14/(($M$15*2)-$M$17),-PMT($M$16/2,($M$15*2-B24),K25,0)-L25),0))</f>
        <v>#REF!</v>
      </c>
      <c r="N25" s="292" t="e">
        <f aca="false">K25-M25</f>
        <v>#REF!</v>
      </c>
      <c r="O25" s="291" t="e">
        <f aca="false">R24</f>
        <v>#REF!</v>
      </c>
      <c r="P25" s="33" t="e">
        <f aca="false">O25*$Q$16*0.5</f>
        <v>#REF!</v>
      </c>
      <c r="Q25" s="33" t="e">
        <f aca="false">IF($Q$17&gt;=B25,0,IF(O25&gt;1,IF(#REF!=1,$Q$14/(($Q$15*2)-$Q$17),-PMT($Q$16/2,($Q$15*2-B24),O25,0)-P25),0))</f>
        <v>#REF!</v>
      </c>
      <c r="R25" s="292" t="e">
        <f aca="false">O25-Q25</f>
        <v>#REF!</v>
      </c>
      <c r="S25" s="291" t="e">
        <f aca="false">V24</f>
        <v>#REF!</v>
      </c>
      <c r="T25" s="33" t="e">
        <f aca="false">S25*$U$16*0.5</f>
        <v>#REF!</v>
      </c>
      <c r="U25" s="33" t="e">
        <f aca="false">IF($U$17&gt;=B25,0,IF(S25&gt;1,IF(#REF!=1,$U$14/(($U$15*2)-$U$17),-PMT($U$16/2,($U$15*2-B24),S25,0)-T25),0))</f>
        <v>#REF!</v>
      </c>
      <c r="V25" s="292" t="e">
        <f aca="false">S25-U25</f>
        <v>#REF!</v>
      </c>
      <c r="W25" s="291" t="e">
        <f aca="false">Z24</f>
        <v>#REF!</v>
      </c>
      <c r="X25" s="33" t="e">
        <f aca="false">W25*$Y$16*0.5</f>
        <v>#REF!</v>
      </c>
      <c r="Y25" s="33" t="e">
        <f aca="false">IF($Y$17&gt;=B25,0,IF(W25&gt;1,IF(#REF!=1,$Y$14/(($Y$15*2)-$Y$17),-PMT($Y$16/2,($Y$15*2-B24),W25,0)-X25),0))</f>
        <v>#REF!</v>
      </c>
      <c r="Z25" s="292" t="e">
        <f aca="false">W25-Y25</f>
        <v>#REF!</v>
      </c>
      <c r="AA25" s="33"/>
      <c r="AB25" s="292"/>
    </row>
    <row r="26" customFormat="false" ht="12.75" hidden="false" customHeight="false" outlineLevel="0" collapsed="false">
      <c r="A26" s="144" t="n">
        <f aca="false">A24+1</f>
        <v>2003</v>
      </c>
      <c r="B26" s="145" t="n">
        <f aca="false">B25+1</f>
        <v>5</v>
      </c>
      <c r="C26" s="293" t="e">
        <f aca="false">F25</f>
        <v>#REF!</v>
      </c>
      <c r="D26" s="294" t="e">
        <f aca="false">C26*$E$16*0.5</f>
        <v>#REF!</v>
      </c>
      <c r="E26" s="294" t="e">
        <f aca="false">IF($E$17&gt;=B26,0,IF(C26&gt;1,IF(#REF!=1,$E$14/(($E$15*2)-$E$17),-PMT($E$16/2,($E$15*2-B25),C26,0)-D26),0))</f>
        <v>#REF!</v>
      </c>
      <c r="F26" s="296" t="e">
        <f aca="false">C26-E26</f>
        <v>#REF!</v>
      </c>
      <c r="G26" s="293" t="e">
        <f aca="false">J25</f>
        <v>#REF!</v>
      </c>
      <c r="H26" s="294" t="e">
        <f aca="false">G26*$I$16*0.5</f>
        <v>#REF!</v>
      </c>
      <c r="I26" s="294" t="e">
        <f aca="false">IF($I$17&gt;=B26,0,IF(G26&gt;1,IF(#REF!=1,$I$14/(($I$15*2)-$I$17),-PMT($I$16/2,($I$15*2-B25),G26,0)-H26),0))</f>
        <v>#REF!</v>
      </c>
      <c r="J26" s="296" t="e">
        <f aca="false">G26-I26</f>
        <v>#REF!</v>
      </c>
      <c r="K26" s="293" t="e">
        <f aca="false">N25</f>
        <v>#REF!</v>
      </c>
      <c r="L26" s="294" t="e">
        <f aca="false">K26*$M$16*0.5</f>
        <v>#REF!</v>
      </c>
      <c r="M26" s="294" t="e">
        <f aca="false">IF($M$17&gt;=B26,0,IF(K26&gt;1,IF(#REF!=1,$M$14/(($M$15*2)-$M$17),-PMT($M$16/2,($M$15*2-B25),K26,0)-L26),0))</f>
        <v>#REF!</v>
      </c>
      <c r="N26" s="296" t="e">
        <f aca="false">K26-M26</f>
        <v>#REF!</v>
      </c>
      <c r="O26" s="293" t="e">
        <f aca="false">R25</f>
        <v>#REF!</v>
      </c>
      <c r="P26" s="294" t="e">
        <f aca="false">O26*$Q$16*0.5</f>
        <v>#REF!</v>
      </c>
      <c r="Q26" s="294" t="e">
        <f aca="false">IF($Q$17&gt;=B26,0,IF(O26&gt;1,IF(#REF!=1,$Q$14/(($Q$15*2)-$Q$17),-PMT($Q$16/2,($Q$15*2-B25),O26,0)-P26),0))</f>
        <v>#REF!</v>
      </c>
      <c r="R26" s="296" t="e">
        <f aca="false">O26-Q26</f>
        <v>#REF!</v>
      </c>
      <c r="S26" s="293" t="e">
        <f aca="false">V25</f>
        <v>#REF!</v>
      </c>
      <c r="T26" s="294" t="e">
        <f aca="false">S26*$U$16*0.5</f>
        <v>#REF!</v>
      </c>
      <c r="U26" s="294" t="e">
        <f aca="false">IF($U$17&gt;=B26,0,IF(S26&gt;1,IF(#REF!=1,$U$14/(($U$15*2)-$U$17),-PMT($U$16/2,($U$15*2-B25),S26,0)-T26),0))</f>
        <v>#REF!</v>
      </c>
      <c r="V26" s="296" t="e">
        <f aca="false">S26-U26</f>
        <v>#REF!</v>
      </c>
      <c r="W26" s="293" t="e">
        <f aca="false">Z25</f>
        <v>#REF!</v>
      </c>
      <c r="X26" s="294" t="e">
        <f aca="false">W26*$Y$16*0.5</f>
        <v>#REF!</v>
      </c>
      <c r="Y26" s="294" t="e">
        <f aca="false">IF($Y$17&gt;=B26,0,IF(W26&gt;1,IF(#REF!=1,$Y$14/(($Y$15*2)-$Y$17),-PMT($Y$16/2,($Y$15*2-B25),W26,0)-X26),0))</f>
        <v>#REF!</v>
      </c>
      <c r="Z26" s="296" t="e">
        <f aca="false">W26-Y26</f>
        <v>#REF!</v>
      </c>
      <c r="AA26" s="294" t="e">
        <f aca="false">SUM(D25:D26,H25:H26,L25:L26,P25:P26,T25:T26,X25:X26)</f>
        <v>#REF!</v>
      </c>
      <c r="AB26" s="296" t="e">
        <f aca="false">SUM(E25:E26,I25:I26,M25:M26,Q25:Q26,U25:U26,Y25:Y26)</f>
        <v>#REF!</v>
      </c>
    </row>
    <row r="27" customFormat="false" ht="12.75" hidden="false" customHeight="false" outlineLevel="0" collapsed="false">
      <c r="A27" s="162" t="n">
        <f aca="false">A25+1</f>
        <v>2004</v>
      </c>
      <c r="B27" s="163" t="n">
        <f aca="false">B26+1</f>
        <v>6</v>
      </c>
      <c r="C27" s="291" t="e">
        <f aca="false">F26</f>
        <v>#REF!</v>
      </c>
      <c r="D27" s="33" t="e">
        <f aca="false">C27*$E$16*0.5</f>
        <v>#REF!</v>
      </c>
      <c r="E27" s="33" t="e">
        <f aca="false">IF($E$17&gt;=B27,0,IF(C27&gt;1,IF(#REF!=1,$E$14/(($E$15*2)-$E$17),-PMT($E$16/2,($E$15*2-B26),C27,0)-D27),0))</f>
        <v>#REF!</v>
      </c>
      <c r="F27" s="292" t="e">
        <f aca="false">C27-E27</f>
        <v>#REF!</v>
      </c>
      <c r="G27" s="291" t="e">
        <f aca="false">J26</f>
        <v>#REF!</v>
      </c>
      <c r="H27" s="33" t="e">
        <f aca="false">G27*$I$16*0.5</f>
        <v>#REF!</v>
      </c>
      <c r="I27" s="33" t="e">
        <f aca="false">IF($I$17&gt;=B27,0,IF(G27&gt;1,IF(#REF!=1,$I$14/(($I$15*2)-$I$17),-PMT($I$16/2,($I$15*2-B26),G27,0)-H27),0))</f>
        <v>#REF!</v>
      </c>
      <c r="J27" s="292" t="e">
        <f aca="false">G27-I27</f>
        <v>#REF!</v>
      </c>
      <c r="K27" s="291" t="e">
        <f aca="false">N26</f>
        <v>#REF!</v>
      </c>
      <c r="L27" s="33" t="e">
        <f aca="false">K27*$M$16*0.5</f>
        <v>#REF!</v>
      </c>
      <c r="M27" s="33" t="e">
        <f aca="false">IF($M$17&gt;=B27,0,IF(K27&gt;1,IF(#REF!=1,$M$14/(($M$15*2)-$M$17),-PMT($M$16/2,($M$15*2-B26),K27,0)-L27),0))</f>
        <v>#REF!</v>
      </c>
      <c r="N27" s="292" t="e">
        <f aca="false">K27-M27</f>
        <v>#REF!</v>
      </c>
      <c r="O27" s="291" t="e">
        <f aca="false">R26</f>
        <v>#REF!</v>
      </c>
      <c r="P27" s="33" t="e">
        <f aca="false">O27*$Q$16*0.5</f>
        <v>#REF!</v>
      </c>
      <c r="Q27" s="33" t="e">
        <f aca="false">IF($Q$17&gt;=B27,0,IF(O27&gt;1,IF(#REF!=1,$Q$14/(($Q$15*2)-$Q$17),-PMT($Q$16/2,($Q$15*2-B26),O27,0)-P27),0))</f>
        <v>#REF!</v>
      </c>
      <c r="R27" s="292" t="e">
        <f aca="false">O27-Q27</f>
        <v>#REF!</v>
      </c>
      <c r="S27" s="291" t="e">
        <f aca="false">V26</f>
        <v>#REF!</v>
      </c>
      <c r="T27" s="33" t="e">
        <f aca="false">S27*$U$16*0.5</f>
        <v>#REF!</v>
      </c>
      <c r="U27" s="33" t="e">
        <f aca="false">IF($U$17&gt;=B27,0,IF(S27&gt;1,IF(#REF!=1,$U$14/(($U$15*2)-$U$17),-PMT($U$16/2,($U$15*2-B26),S27,0)-T27),0))</f>
        <v>#REF!</v>
      </c>
      <c r="V27" s="292" t="e">
        <f aca="false">S27-U27</f>
        <v>#REF!</v>
      </c>
      <c r="W27" s="291" t="e">
        <f aca="false">Z26</f>
        <v>#REF!</v>
      </c>
      <c r="X27" s="33" t="e">
        <f aca="false">W27*$Y$16*0.5</f>
        <v>#REF!</v>
      </c>
      <c r="Y27" s="33" t="e">
        <f aca="false">IF($Y$17&gt;=B27,0,IF(W27&gt;1,IF(#REF!=1,$Y$14/(($Y$15*2)-$Y$17),-PMT($Y$16/2,($Y$15*2-B26),W27,0)-X27),0))</f>
        <v>#REF!</v>
      </c>
      <c r="Z27" s="292" t="e">
        <f aca="false">W27-Y27</f>
        <v>#REF!</v>
      </c>
      <c r="AA27" s="33"/>
      <c r="AB27" s="292"/>
    </row>
    <row r="28" customFormat="false" ht="12.75" hidden="false" customHeight="false" outlineLevel="0" collapsed="false">
      <c r="A28" s="144" t="n">
        <f aca="false">A27</f>
        <v>2004</v>
      </c>
      <c r="B28" s="145" t="n">
        <f aca="false">B27+1</f>
        <v>7</v>
      </c>
      <c r="C28" s="293" t="e">
        <f aca="false">F27</f>
        <v>#REF!</v>
      </c>
      <c r="D28" s="294" t="e">
        <f aca="false">C28*$E$16*0.5</f>
        <v>#REF!</v>
      </c>
      <c r="E28" s="294" t="e">
        <f aca="false">IF($E$17&gt;=B28,0,IF(C28&gt;1,IF(#REF!=1,$E$14/(($E$15*2)-$E$17),-PMT($E$16/2,($E$15*2-B27),C28,0)-D28),0))</f>
        <v>#REF!</v>
      </c>
      <c r="F28" s="296" t="e">
        <f aca="false">C28-E28</f>
        <v>#REF!</v>
      </c>
      <c r="G28" s="293" t="e">
        <f aca="false">J27</f>
        <v>#REF!</v>
      </c>
      <c r="H28" s="294" t="e">
        <f aca="false">G28*$I$16*0.5</f>
        <v>#REF!</v>
      </c>
      <c r="I28" s="294" t="e">
        <f aca="false">IF($I$17&gt;=B28,0,IF(G28&gt;1,IF(#REF!=1,$I$14/(($I$15*2)-$I$17),-PMT($I$16/2,($I$15*2-B27),G28,0)-H28),0))</f>
        <v>#REF!</v>
      </c>
      <c r="J28" s="296" t="e">
        <f aca="false">G28-I28</f>
        <v>#REF!</v>
      </c>
      <c r="K28" s="293" t="e">
        <f aca="false">N27</f>
        <v>#REF!</v>
      </c>
      <c r="L28" s="294" t="e">
        <f aca="false">K28*$M$16*0.5</f>
        <v>#REF!</v>
      </c>
      <c r="M28" s="294" t="e">
        <f aca="false">IF($M$17&gt;=B28,0,IF(K28&gt;1,IF(#REF!=1,$M$14/(($M$15*2)-$M$17),-PMT($M$16/2,($M$15*2-B27),K28,0)-L28),0))</f>
        <v>#REF!</v>
      </c>
      <c r="N28" s="296" t="e">
        <f aca="false">K28-M28</f>
        <v>#REF!</v>
      </c>
      <c r="O28" s="293" t="e">
        <f aca="false">R27</f>
        <v>#REF!</v>
      </c>
      <c r="P28" s="294" t="e">
        <f aca="false">O28*$Q$16*0.5</f>
        <v>#REF!</v>
      </c>
      <c r="Q28" s="294" t="e">
        <f aca="false">IF($Q$17&gt;=B28,0,IF(O28&gt;1,IF(#REF!=1,$Q$14/(($Q$15*2)-$Q$17),-PMT($Q$16/2,($Q$15*2-B27),O28,0)-P28),0))</f>
        <v>#REF!</v>
      </c>
      <c r="R28" s="296" t="e">
        <f aca="false">O28-Q28</f>
        <v>#REF!</v>
      </c>
      <c r="S28" s="293" t="e">
        <f aca="false">V27</f>
        <v>#REF!</v>
      </c>
      <c r="T28" s="294" t="e">
        <f aca="false">S28*$U$16*0.5</f>
        <v>#REF!</v>
      </c>
      <c r="U28" s="294" t="e">
        <f aca="false">IF($U$17&gt;=B28,0,IF(S28&gt;1,IF(#REF!=1,$U$14/(($U$15*2)-$U$17),-PMT($U$16/2,($U$15*2-B27),S28,0)-T28),0))</f>
        <v>#REF!</v>
      </c>
      <c r="V28" s="296" t="e">
        <f aca="false">S28-U28</f>
        <v>#REF!</v>
      </c>
      <c r="W28" s="293" t="e">
        <f aca="false">Z27</f>
        <v>#REF!</v>
      </c>
      <c r="X28" s="294" t="e">
        <f aca="false">W28*$Y$16*0.5</f>
        <v>#REF!</v>
      </c>
      <c r="Y28" s="294" t="e">
        <f aca="false">IF($Y$17&gt;=B28,0,IF(W28&gt;1,IF(#REF!=1,$Y$14/(($Y$15*2)-$Y$17),-PMT($Y$16/2,($Y$15*2-B27),W28,0)-X28),0))</f>
        <v>#REF!</v>
      </c>
      <c r="Z28" s="296" t="e">
        <f aca="false">W28-Y28</f>
        <v>#REF!</v>
      </c>
      <c r="AA28" s="294" t="e">
        <f aca="false">SUM(D27:D28,H27:H28,L27:L28,P27:P28,T27:T28,X27:X28)</f>
        <v>#REF!</v>
      </c>
      <c r="AB28" s="296" t="e">
        <f aca="false">SUM(E27:E28,I27:I28,M27:M28,Q27:Q28,U27:U28,Y27:Y28)</f>
        <v>#REF!</v>
      </c>
    </row>
    <row r="29" customFormat="false" ht="12.75" hidden="false" customHeight="false" outlineLevel="0" collapsed="false">
      <c r="A29" s="162" t="n">
        <f aca="false">A27+1</f>
        <v>2005</v>
      </c>
      <c r="B29" s="163" t="n">
        <f aca="false">B28+1</f>
        <v>8</v>
      </c>
      <c r="C29" s="291" t="e">
        <f aca="false">F28</f>
        <v>#REF!</v>
      </c>
      <c r="D29" s="33" t="e">
        <f aca="false">C29*$E$16*0.5</f>
        <v>#REF!</v>
      </c>
      <c r="E29" s="33" t="e">
        <f aca="false">IF($E$17&gt;=B29,0,IF(C29&gt;1,IF(#REF!=1,$E$14/(($E$15*2)-$E$17),-PMT($E$16/2,($E$15*2-B28),C29,0)-D29),0))</f>
        <v>#REF!</v>
      </c>
      <c r="F29" s="292" t="e">
        <f aca="false">C29-E29</f>
        <v>#REF!</v>
      </c>
      <c r="G29" s="291" t="e">
        <f aca="false">J28</f>
        <v>#REF!</v>
      </c>
      <c r="H29" s="33" t="e">
        <f aca="false">G29*$I$16*0.5</f>
        <v>#REF!</v>
      </c>
      <c r="I29" s="33" t="e">
        <f aca="false">IF($I$17&gt;=B29,0,IF(G29&gt;1,IF(#REF!=1,$I$14/(($I$15*2)-$I$17),-PMT($I$16/2,($I$15*2-B28),G29,0)-H29),0))</f>
        <v>#REF!</v>
      </c>
      <c r="J29" s="292" t="e">
        <f aca="false">G29-I29</f>
        <v>#REF!</v>
      </c>
      <c r="K29" s="291" t="e">
        <f aca="false">N28</f>
        <v>#REF!</v>
      </c>
      <c r="L29" s="33" t="e">
        <f aca="false">K29*$M$16*0.5</f>
        <v>#REF!</v>
      </c>
      <c r="M29" s="33" t="e">
        <f aca="false">IF($M$17&gt;=B29,0,IF(K29&gt;1,IF(#REF!=1,$M$14/(($M$15*2)-$M$17),-PMT($M$16/2,($M$15*2-B28),K29,0)-L29),0))</f>
        <v>#REF!</v>
      </c>
      <c r="N29" s="292" t="e">
        <f aca="false">K29-M29</f>
        <v>#REF!</v>
      </c>
      <c r="O29" s="291" t="e">
        <f aca="false">R28</f>
        <v>#REF!</v>
      </c>
      <c r="P29" s="33" t="e">
        <f aca="false">O29*$Q$16*0.5</f>
        <v>#REF!</v>
      </c>
      <c r="Q29" s="33" t="e">
        <f aca="false">IF($Q$17&gt;=B29,0,IF(O29&gt;1,IF(#REF!=1,$Q$14/(($Q$15*2)-$Q$17),-PMT($Q$16/2,($Q$15*2-B28),O29,0)-P29),0))</f>
        <v>#REF!</v>
      </c>
      <c r="R29" s="292" t="e">
        <f aca="false">O29-Q29</f>
        <v>#REF!</v>
      </c>
      <c r="S29" s="291" t="e">
        <f aca="false">V28</f>
        <v>#REF!</v>
      </c>
      <c r="T29" s="33" t="e">
        <f aca="false">S29*$U$16*0.5</f>
        <v>#REF!</v>
      </c>
      <c r="U29" s="33" t="e">
        <f aca="false">IF($U$17&gt;=B29,0,IF(S29&gt;1,IF(#REF!=1,$U$14/(($U$15*2)-$U$17),-PMT($U$16/2,($U$15*2-B28),S29,0)-T29),0))</f>
        <v>#REF!</v>
      </c>
      <c r="V29" s="292" t="e">
        <f aca="false">S29-U29</f>
        <v>#REF!</v>
      </c>
      <c r="W29" s="291" t="e">
        <f aca="false">Z28</f>
        <v>#REF!</v>
      </c>
      <c r="X29" s="33" t="e">
        <f aca="false">W29*$Y$16*0.5</f>
        <v>#REF!</v>
      </c>
      <c r="Y29" s="33" t="e">
        <f aca="false">IF($Y$17&gt;=B29,0,IF(W29&gt;1,IF(#REF!=1,$Y$14/(($Y$15*2)-$Y$17),-PMT($Y$16/2,($Y$15*2-B28),W29,0)-X29),0))</f>
        <v>#REF!</v>
      </c>
      <c r="Z29" s="292" t="e">
        <f aca="false">W29-Y29</f>
        <v>#REF!</v>
      </c>
      <c r="AA29" s="33"/>
      <c r="AB29" s="292"/>
    </row>
    <row r="30" customFormat="false" ht="12.75" hidden="false" customHeight="false" outlineLevel="0" collapsed="false">
      <c r="A30" s="144" t="n">
        <f aca="false">A29</f>
        <v>2005</v>
      </c>
      <c r="B30" s="145" t="n">
        <f aca="false">B29+1</f>
        <v>9</v>
      </c>
      <c r="C30" s="293" t="e">
        <f aca="false">F29</f>
        <v>#REF!</v>
      </c>
      <c r="D30" s="294" t="e">
        <f aca="false">C30*$E$16*0.5</f>
        <v>#REF!</v>
      </c>
      <c r="E30" s="294" t="e">
        <f aca="false">IF($E$17&gt;=B30,0,IF(C30&gt;1,IF(#REF!=1,$E$14/(($E$15*2)-$E$17),-PMT($E$16/2,($E$15*2-B29),C30,0)-D30),0))</f>
        <v>#REF!</v>
      </c>
      <c r="F30" s="296" t="e">
        <f aca="false">C30-E30</f>
        <v>#REF!</v>
      </c>
      <c r="G30" s="293" t="e">
        <f aca="false">J29</f>
        <v>#REF!</v>
      </c>
      <c r="H30" s="294" t="e">
        <f aca="false">G30*$I$16*0.5</f>
        <v>#REF!</v>
      </c>
      <c r="I30" s="294" t="e">
        <f aca="false">IF($I$17&gt;=B30,0,IF(G30&gt;1,IF(#REF!=1,$I$14/(($I$15*2)-$I$17),-PMT($I$16/2,($I$15*2-B29),G30,0)-H30),0))</f>
        <v>#REF!</v>
      </c>
      <c r="J30" s="296" t="e">
        <f aca="false">G30-I30</f>
        <v>#REF!</v>
      </c>
      <c r="K30" s="293" t="e">
        <f aca="false">N29</f>
        <v>#REF!</v>
      </c>
      <c r="L30" s="294" t="e">
        <f aca="false">K30*$M$16*0.5</f>
        <v>#REF!</v>
      </c>
      <c r="M30" s="294" t="e">
        <f aca="false">IF($M$17&gt;=B30,0,IF(K30&gt;1,IF(#REF!=1,$M$14/(($M$15*2)-$M$17),-PMT($M$16/2,($M$15*2-B29),K30,0)-L30),0))</f>
        <v>#REF!</v>
      </c>
      <c r="N30" s="296" t="e">
        <f aca="false">K30-M30</f>
        <v>#REF!</v>
      </c>
      <c r="O30" s="293" t="e">
        <f aca="false">R29</f>
        <v>#REF!</v>
      </c>
      <c r="P30" s="294" t="e">
        <f aca="false">O30*$Q$16*0.5</f>
        <v>#REF!</v>
      </c>
      <c r="Q30" s="294" t="e">
        <f aca="false">IF($Q$17&gt;=B30,0,IF(O30&gt;1,IF(#REF!=1,$Q$14/(($Q$15*2)-$Q$17),-PMT($Q$16/2,($Q$15*2-B29),O30,0)-P30),0))</f>
        <v>#REF!</v>
      </c>
      <c r="R30" s="296" t="e">
        <f aca="false">O30-Q30</f>
        <v>#REF!</v>
      </c>
      <c r="S30" s="293" t="e">
        <f aca="false">V29</f>
        <v>#REF!</v>
      </c>
      <c r="T30" s="294" t="e">
        <f aca="false">S30*$U$16*0.5</f>
        <v>#REF!</v>
      </c>
      <c r="U30" s="294" t="e">
        <f aca="false">IF($U$17&gt;=B30,0,IF(S30&gt;1,IF(#REF!=1,$U$14/(($U$15*2)-$U$17),-PMT($U$16/2,($U$15*2-B29),S30,0)-T30),0))</f>
        <v>#REF!</v>
      </c>
      <c r="V30" s="296" t="e">
        <f aca="false">S30-U30</f>
        <v>#REF!</v>
      </c>
      <c r="W30" s="293" t="e">
        <f aca="false">Z29</f>
        <v>#REF!</v>
      </c>
      <c r="X30" s="294" t="e">
        <f aca="false">W30*$Y$16*0.5</f>
        <v>#REF!</v>
      </c>
      <c r="Y30" s="294" t="e">
        <f aca="false">IF($Y$17&gt;=B30,0,IF(W30&gt;1,IF(#REF!=1,$Y$14/(($Y$15*2)-$Y$17),-PMT($Y$16/2,($Y$15*2-B29),W30,0)-X30),0))</f>
        <v>#REF!</v>
      </c>
      <c r="Z30" s="296" t="e">
        <f aca="false">W30-Y30</f>
        <v>#REF!</v>
      </c>
      <c r="AA30" s="294" t="e">
        <f aca="false">SUM(D29:D30,H29:H30,L29:L30,P29:P30,T29:T30,X29:X30)</f>
        <v>#REF!</v>
      </c>
      <c r="AB30" s="296" t="e">
        <f aca="false">SUM(E29:E30,I29:I30,M29:M30,Q29:Q30,U29:U30,Y29:Y30)</f>
        <v>#REF!</v>
      </c>
    </row>
    <row r="31" customFormat="false" ht="12.75" hidden="false" customHeight="false" outlineLevel="0" collapsed="false">
      <c r="A31" s="162" t="n">
        <f aca="false">A29+1</f>
        <v>2006</v>
      </c>
      <c r="B31" s="163" t="n">
        <f aca="false">B30+1</f>
        <v>10</v>
      </c>
      <c r="C31" s="291" t="e">
        <f aca="false">F30</f>
        <v>#REF!</v>
      </c>
      <c r="D31" s="33" t="e">
        <f aca="false">C31*$E$16*0.5</f>
        <v>#REF!</v>
      </c>
      <c r="E31" s="33" t="e">
        <f aca="false">IF($E$17&gt;=B31,0,IF(C31&gt;1,IF(#REF!=1,$E$14/(($E$15*2)-$E$17),-PMT($E$16/2,($E$15*2-B30),C31,0)-D31),0))</f>
        <v>#REF!</v>
      </c>
      <c r="F31" s="292" t="e">
        <f aca="false">C31-E31</f>
        <v>#REF!</v>
      </c>
      <c r="G31" s="291" t="e">
        <f aca="false">J30</f>
        <v>#REF!</v>
      </c>
      <c r="H31" s="33" t="e">
        <f aca="false">G31*$I$16*0.5</f>
        <v>#REF!</v>
      </c>
      <c r="I31" s="33" t="e">
        <f aca="false">IF($I$17&gt;=B31,0,IF(G31&gt;1,IF(#REF!=1,$I$14/(($I$15*2)-$I$17),-PMT($I$16/2,($I$15*2-B30),G31,0)-H31),0))</f>
        <v>#REF!</v>
      </c>
      <c r="J31" s="292" t="e">
        <f aca="false">G31-I31</f>
        <v>#REF!</v>
      </c>
      <c r="K31" s="291" t="e">
        <f aca="false">N30</f>
        <v>#REF!</v>
      </c>
      <c r="L31" s="33" t="e">
        <f aca="false">K31*$M$16*0.5</f>
        <v>#REF!</v>
      </c>
      <c r="M31" s="33" t="e">
        <f aca="false">IF($M$17&gt;=B31,0,IF(K31&gt;1,IF(#REF!=1,$M$14/(($M$15*2)-$M$17),-PMT($M$16/2,($M$15*2-B30),K31,0)-L31),0))</f>
        <v>#REF!</v>
      </c>
      <c r="N31" s="292" t="e">
        <f aca="false">K31-M31</f>
        <v>#REF!</v>
      </c>
      <c r="O31" s="291" t="e">
        <f aca="false">R30</f>
        <v>#REF!</v>
      </c>
      <c r="P31" s="33" t="e">
        <f aca="false">O31*$Q$16*0.5</f>
        <v>#REF!</v>
      </c>
      <c r="Q31" s="33" t="e">
        <f aca="false">IF($Q$17&gt;=B31,0,IF(O31&gt;1,IF(#REF!=1,$Q$14/(($Q$15*2)-$Q$17),-PMT($Q$16/2,($Q$15*2-B30),O31,0)-P31),0))</f>
        <v>#REF!</v>
      </c>
      <c r="R31" s="292" t="e">
        <f aca="false">O31-Q31</f>
        <v>#REF!</v>
      </c>
      <c r="S31" s="291" t="e">
        <f aca="false">V30</f>
        <v>#REF!</v>
      </c>
      <c r="T31" s="33" t="e">
        <f aca="false">S31*$U$16*0.5</f>
        <v>#REF!</v>
      </c>
      <c r="U31" s="33" t="e">
        <f aca="false">IF($U$17&gt;=B31,0,IF(S31&gt;1,IF(#REF!=1,$U$14/(($U$15*2)-$U$17),-PMT($U$16/2,($U$15*2-B30),S31,0)-T31),0))</f>
        <v>#REF!</v>
      </c>
      <c r="V31" s="292" t="e">
        <f aca="false">S31-U31</f>
        <v>#REF!</v>
      </c>
      <c r="W31" s="291" t="e">
        <f aca="false">Z30</f>
        <v>#REF!</v>
      </c>
      <c r="X31" s="33" t="e">
        <f aca="false">W31*$Y$16*0.5</f>
        <v>#REF!</v>
      </c>
      <c r="Y31" s="33" t="e">
        <f aca="false">IF($Y$17&gt;=B31,0,IF(W31&gt;1,IF(#REF!=1,$Y$14/(($Y$15*2)-$Y$17),-PMT($Y$16/2,($Y$15*2-B30),W31,0)-X31),0))</f>
        <v>#REF!</v>
      </c>
      <c r="Z31" s="292" t="e">
        <f aca="false">W31-Y31</f>
        <v>#REF!</v>
      </c>
      <c r="AA31" s="33"/>
      <c r="AB31" s="292"/>
    </row>
    <row r="32" customFormat="false" ht="12.75" hidden="false" customHeight="false" outlineLevel="0" collapsed="false">
      <c r="A32" s="144" t="n">
        <f aca="false">A31</f>
        <v>2006</v>
      </c>
      <c r="B32" s="145" t="n">
        <f aca="false">B31+1</f>
        <v>11</v>
      </c>
      <c r="C32" s="293" t="e">
        <f aca="false">F31</f>
        <v>#REF!</v>
      </c>
      <c r="D32" s="294" t="e">
        <f aca="false">C32*$E$16*0.5</f>
        <v>#REF!</v>
      </c>
      <c r="E32" s="294" t="e">
        <f aca="false">IF($E$17&gt;=B32,0,IF(C32&gt;1,IF(#REF!=1,$E$14/(($E$15*2)-$E$17),-PMT($E$16/2,($E$15*2-B31),C32,0)-D32),0))</f>
        <v>#REF!</v>
      </c>
      <c r="F32" s="296" t="e">
        <f aca="false">C32-E32</f>
        <v>#REF!</v>
      </c>
      <c r="G32" s="293" t="e">
        <f aca="false">J31</f>
        <v>#REF!</v>
      </c>
      <c r="H32" s="294" t="e">
        <f aca="false">G32*$I$16*0.5</f>
        <v>#REF!</v>
      </c>
      <c r="I32" s="294" t="e">
        <f aca="false">IF($I$17&gt;=B32,0,IF(G32&gt;1,IF(#REF!=1,$I$14/(($I$15*2)-$I$17),-PMT($I$16/2,($I$15*2-B31),G32,0)-H32),0))</f>
        <v>#REF!</v>
      </c>
      <c r="J32" s="296" t="e">
        <f aca="false">G32-I32</f>
        <v>#REF!</v>
      </c>
      <c r="K32" s="293" t="e">
        <f aca="false">N31</f>
        <v>#REF!</v>
      </c>
      <c r="L32" s="294" t="e">
        <f aca="false">K32*$M$16*0.5</f>
        <v>#REF!</v>
      </c>
      <c r="M32" s="294" t="e">
        <f aca="false">IF($M$17&gt;=B32,0,IF(K32&gt;1,IF(#REF!=1,$M$14/(($M$15*2)-$M$17),-PMT($M$16/2,($M$15*2-B31),K32,0)-L32),0))</f>
        <v>#REF!</v>
      </c>
      <c r="N32" s="296" t="e">
        <f aca="false">K32-M32</f>
        <v>#REF!</v>
      </c>
      <c r="O32" s="293" t="e">
        <f aca="false">R31</f>
        <v>#REF!</v>
      </c>
      <c r="P32" s="294" t="e">
        <f aca="false">O32*$Q$16*0.5</f>
        <v>#REF!</v>
      </c>
      <c r="Q32" s="294" t="e">
        <f aca="false">IF($Q$17&gt;=B32,0,IF(O32&gt;1,IF(#REF!=1,$Q$14/(($Q$15*2)-$Q$17),-PMT($Q$16/2,($Q$15*2-B31),O32,0)-P32),0))</f>
        <v>#REF!</v>
      </c>
      <c r="R32" s="296" t="e">
        <f aca="false">O32-Q32</f>
        <v>#REF!</v>
      </c>
      <c r="S32" s="293" t="e">
        <f aca="false">V31</f>
        <v>#REF!</v>
      </c>
      <c r="T32" s="294" t="e">
        <f aca="false">S32*$U$16*0.5</f>
        <v>#REF!</v>
      </c>
      <c r="U32" s="294" t="e">
        <f aca="false">IF($U$17&gt;=B32,0,IF(S32&gt;1,IF(#REF!=1,$U$14/(($U$15*2)-$U$17),-PMT($U$16/2,($U$15*2-B31),S32,0)-T32),0))</f>
        <v>#REF!</v>
      </c>
      <c r="V32" s="296" t="e">
        <f aca="false">S32-U32</f>
        <v>#REF!</v>
      </c>
      <c r="W32" s="293" t="e">
        <f aca="false">Z31</f>
        <v>#REF!</v>
      </c>
      <c r="X32" s="294" t="e">
        <f aca="false">W32*$Y$16*0.5</f>
        <v>#REF!</v>
      </c>
      <c r="Y32" s="294" t="e">
        <f aca="false">IF($Y$17&gt;=B32,0,IF(W32&gt;1,IF(#REF!=1,$Y$14/(($Y$15*2)-$Y$17),-PMT($Y$16/2,($Y$15*2-B31),W32,0)-X32),0))</f>
        <v>#REF!</v>
      </c>
      <c r="Z32" s="296" t="e">
        <f aca="false">W32-Y32</f>
        <v>#REF!</v>
      </c>
      <c r="AA32" s="294" t="e">
        <f aca="false">SUM(D31:D32,H31:H32,L31:L32,P31:P32,T31:T32,X31:X32)</f>
        <v>#REF!</v>
      </c>
      <c r="AB32" s="296" t="e">
        <f aca="false">SUM(E31:E32,I31:I32,M31:M32,Q31:Q32,U31:U32,Y31:Y32)</f>
        <v>#REF!</v>
      </c>
    </row>
    <row r="33" customFormat="false" ht="12.75" hidden="false" customHeight="false" outlineLevel="0" collapsed="false">
      <c r="A33" s="162" t="n">
        <f aca="false">A31+1</f>
        <v>2007</v>
      </c>
      <c r="B33" s="163" t="n">
        <f aca="false">B32+1</f>
        <v>12</v>
      </c>
      <c r="C33" s="291" t="e">
        <f aca="false">F32</f>
        <v>#REF!</v>
      </c>
      <c r="D33" s="33" t="e">
        <f aca="false">C33*$E$16*0.5</f>
        <v>#REF!</v>
      </c>
      <c r="E33" s="33" t="e">
        <f aca="false">IF($E$17&gt;=B33,0,IF(C33&gt;1,IF(#REF!=1,$E$14/(($E$15*2)-$E$17),-PMT($E$16/2,($E$15*2-B32),C33,0)-D33),0))</f>
        <v>#REF!</v>
      </c>
      <c r="F33" s="292" t="e">
        <f aca="false">C33-E33</f>
        <v>#REF!</v>
      </c>
      <c r="G33" s="291" t="e">
        <f aca="false">J32</f>
        <v>#REF!</v>
      </c>
      <c r="H33" s="33" t="e">
        <f aca="false">G33*$I$16*0.5</f>
        <v>#REF!</v>
      </c>
      <c r="I33" s="33" t="e">
        <f aca="false">IF($I$17&gt;=B33,0,IF(G33&gt;1,IF(#REF!=1,$I$14/(($I$15*2)-$I$17),-PMT($I$16/2,($I$15*2-B32),G33,0)-H33),0))</f>
        <v>#REF!</v>
      </c>
      <c r="J33" s="292" t="e">
        <f aca="false">G33-I33</f>
        <v>#REF!</v>
      </c>
      <c r="K33" s="291" t="e">
        <f aca="false">N32</f>
        <v>#REF!</v>
      </c>
      <c r="L33" s="33" t="e">
        <f aca="false">K33*$M$16*0.5</f>
        <v>#REF!</v>
      </c>
      <c r="M33" s="33" t="e">
        <f aca="false">IF($M$17&gt;=B33,0,IF(K33&gt;1,IF(#REF!=1,$M$14/(($M$15*2)-$M$17),-PMT($M$16/2,($M$15*2-B32),K33,0)-L33),0))</f>
        <v>#REF!</v>
      </c>
      <c r="N33" s="292" t="e">
        <f aca="false">K33-M33</f>
        <v>#REF!</v>
      </c>
      <c r="O33" s="291" t="e">
        <f aca="false">R32</f>
        <v>#REF!</v>
      </c>
      <c r="P33" s="33" t="e">
        <f aca="false">O33*$Q$16*0.5</f>
        <v>#REF!</v>
      </c>
      <c r="Q33" s="33" t="e">
        <f aca="false">IF($Q$17&gt;=B33,0,IF(O33&gt;1,IF(#REF!=1,$Q$14/(($Q$15*2)-$Q$17),-PMT($Q$16/2,($Q$15*2-B32),O33,0)-P33),0))</f>
        <v>#REF!</v>
      </c>
      <c r="R33" s="292" t="e">
        <f aca="false">O33-Q33</f>
        <v>#REF!</v>
      </c>
      <c r="S33" s="291" t="e">
        <f aca="false">V32</f>
        <v>#REF!</v>
      </c>
      <c r="T33" s="33" t="e">
        <f aca="false">S33*$U$16*0.5</f>
        <v>#REF!</v>
      </c>
      <c r="U33" s="33" t="e">
        <f aca="false">IF($U$17&gt;=B33,0,IF(S33&gt;1,IF(#REF!=1,$U$14/(($U$15*2)-$U$17),-PMT($U$16/2,($U$15*2-B32),S33,0)-T33),0))</f>
        <v>#REF!</v>
      </c>
      <c r="V33" s="292" t="e">
        <f aca="false">S33-U33</f>
        <v>#REF!</v>
      </c>
      <c r="W33" s="291" t="e">
        <f aca="false">Z32</f>
        <v>#REF!</v>
      </c>
      <c r="X33" s="33" t="e">
        <f aca="false">W33*$Y$16*0.5</f>
        <v>#REF!</v>
      </c>
      <c r="Y33" s="33" t="e">
        <f aca="false">IF($Y$17&gt;=B33,0,IF(W33&gt;1,IF(#REF!=1,$Y$14/(($Y$15*2)-$Y$17),-PMT($Y$16/2,($Y$15*2-B32),W33,0)-X33),0))</f>
        <v>#REF!</v>
      </c>
      <c r="Z33" s="292" t="e">
        <f aca="false">W33-Y33</f>
        <v>#REF!</v>
      </c>
      <c r="AA33" s="33"/>
      <c r="AB33" s="292"/>
    </row>
    <row r="34" customFormat="false" ht="12.75" hidden="false" customHeight="false" outlineLevel="0" collapsed="false">
      <c r="A34" s="144" t="n">
        <f aca="false">A33</f>
        <v>2007</v>
      </c>
      <c r="B34" s="145" t="n">
        <f aca="false">B33+1</f>
        <v>13</v>
      </c>
      <c r="C34" s="293" t="e">
        <f aca="false">F33</f>
        <v>#REF!</v>
      </c>
      <c r="D34" s="294" t="e">
        <f aca="false">C34*$E$16*0.5</f>
        <v>#REF!</v>
      </c>
      <c r="E34" s="294" t="e">
        <f aca="false">IF($E$17&gt;=B34,0,IF(C34&gt;1,IF(#REF!=1,$E$14/(($E$15*2)-$E$17),-PMT($E$16/2,($E$15*2-B33),C34,0)-D34),0))</f>
        <v>#REF!</v>
      </c>
      <c r="F34" s="296" t="e">
        <f aca="false">C34-E34</f>
        <v>#REF!</v>
      </c>
      <c r="G34" s="293" t="e">
        <f aca="false">J33</f>
        <v>#REF!</v>
      </c>
      <c r="H34" s="294" t="e">
        <f aca="false">G34*$I$16*0.5</f>
        <v>#REF!</v>
      </c>
      <c r="I34" s="294" t="e">
        <f aca="false">IF($I$17&gt;=B34,0,IF(G34&gt;1,IF(#REF!=1,$I$14/(($I$15*2)-$I$17),-PMT($I$16/2,($I$15*2-B33),G34,0)-H34),0))</f>
        <v>#REF!</v>
      </c>
      <c r="J34" s="296" t="e">
        <f aca="false">G34-I34</f>
        <v>#REF!</v>
      </c>
      <c r="K34" s="293" t="e">
        <f aca="false">N33</f>
        <v>#REF!</v>
      </c>
      <c r="L34" s="294" t="e">
        <f aca="false">K34*$M$16*0.5</f>
        <v>#REF!</v>
      </c>
      <c r="M34" s="294" t="e">
        <f aca="false">IF($M$17&gt;=B34,0,IF(K34&gt;1,IF(#REF!=1,$M$14/(($M$15*2)-$M$17),-PMT($M$16/2,($M$15*2-B33),K34,0)-L34),0))</f>
        <v>#REF!</v>
      </c>
      <c r="N34" s="296" t="e">
        <f aca="false">K34-M34</f>
        <v>#REF!</v>
      </c>
      <c r="O34" s="293" t="e">
        <f aca="false">R33</f>
        <v>#REF!</v>
      </c>
      <c r="P34" s="294" t="e">
        <f aca="false">O34*$Q$16*0.5</f>
        <v>#REF!</v>
      </c>
      <c r="Q34" s="294" t="e">
        <f aca="false">IF($Q$17&gt;=B34,0,IF(O34&gt;1,IF(#REF!=1,$Q$14/(($Q$15*2)-$Q$17),-PMT($Q$16/2,($Q$15*2-B33),O34,0)-P34),0))</f>
        <v>#REF!</v>
      </c>
      <c r="R34" s="296" t="e">
        <f aca="false">O34-Q34</f>
        <v>#REF!</v>
      </c>
      <c r="S34" s="293" t="e">
        <f aca="false">V33</f>
        <v>#REF!</v>
      </c>
      <c r="T34" s="294" t="e">
        <f aca="false">S34*$U$16*0.5</f>
        <v>#REF!</v>
      </c>
      <c r="U34" s="294" t="e">
        <f aca="false">IF($U$17&gt;=B34,0,IF(S34&gt;1,IF(#REF!=1,$U$14/(($U$15*2)-$U$17),-PMT($U$16/2,($U$15*2-B33),S34,0)-T34),0))</f>
        <v>#REF!</v>
      </c>
      <c r="V34" s="296" t="e">
        <f aca="false">S34-U34</f>
        <v>#REF!</v>
      </c>
      <c r="W34" s="293" t="e">
        <f aca="false">Z33</f>
        <v>#REF!</v>
      </c>
      <c r="X34" s="294" t="e">
        <f aca="false">W34*$Y$16*0.5</f>
        <v>#REF!</v>
      </c>
      <c r="Y34" s="294" t="e">
        <f aca="false">IF($Y$17&gt;=B34,0,IF(W34&gt;1,IF(#REF!=1,$Y$14/(($Y$15*2)-$Y$17),-PMT($Y$16/2,($Y$15*2-B33),W34,0)-X34),0))</f>
        <v>#REF!</v>
      </c>
      <c r="Z34" s="296" t="e">
        <f aca="false">W34-Y34</f>
        <v>#REF!</v>
      </c>
      <c r="AA34" s="294" t="e">
        <f aca="false">SUM(D33:D34,H33:H34,L33:L34,P33:P34,T33:T34,X33:X34)</f>
        <v>#REF!</v>
      </c>
      <c r="AB34" s="296" t="e">
        <f aca="false">SUM(E33:E34,I33:I34,M33:M34,Q33:Q34,U33:U34,Y33:Y34)</f>
        <v>#REF!</v>
      </c>
    </row>
    <row r="35" customFormat="false" ht="12.75" hidden="false" customHeight="false" outlineLevel="0" collapsed="false">
      <c r="A35" s="162" t="n">
        <f aca="false">A33+1</f>
        <v>2008</v>
      </c>
      <c r="B35" s="163" t="n">
        <f aca="false">B34+1</f>
        <v>14</v>
      </c>
      <c r="C35" s="291" t="e">
        <f aca="false">F34</f>
        <v>#REF!</v>
      </c>
      <c r="D35" s="33" t="e">
        <f aca="false">C35*$E$16*0.5</f>
        <v>#REF!</v>
      </c>
      <c r="E35" s="33" t="e">
        <f aca="false">IF($E$17&gt;=B35,0,IF(C35&gt;1,IF(#REF!=1,$E$14/(($E$15*2)-$E$17),-PMT($E$16/2,($E$15*2-B34),C35,0)-D35),0))</f>
        <v>#REF!</v>
      </c>
      <c r="F35" s="292" t="e">
        <f aca="false">C35-E35</f>
        <v>#REF!</v>
      </c>
      <c r="G35" s="291" t="e">
        <f aca="false">J34</f>
        <v>#REF!</v>
      </c>
      <c r="H35" s="33" t="e">
        <f aca="false">G35*$I$16*0.5</f>
        <v>#REF!</v>
      </c>
      <c r="I35" s="33" t="e">
        <f aca="false">IF($I$17&gt;=B35,0,IF(G35&gt;1,IF(#REF!=1,$I$14/(($I$15*2)-$I$17),-PMT($I$16/2,($I$15*2-B34),G35,0)-H35),0))</f>
        <v>#REF!</v>
      </c>
      <c r="J35" s="292" t="e">
        <f aca="false">G35-I35</f>
        <v>#REF!</v>
      </c>
      <c r="K35" s="291" t="e">
        <f aca="false">N34</f>
        <v>#REF!</v>
      </c>
      <c r="L35" s="33" t="e">
        <f aca="false">K35*$M$16*0.5</f>
        <v>#REF!</v>
      </c>
      <c r="M35" s="33" t="e">
        <f aca="false">IF($M$17&gt;=B35,0,IF(K35&gt;1,IF(#REF!=1,$M$14/(($M$15*2)-$M$17),-PMT($M$16/2,($M$15*2-B34),K35,0)-L35),0))</f>
        <v>#REF!</v>
      </c>
      <c r="N35" s="292" t="e">
        <f aca="false">K35-M35</f>
        <v>#REF!</v>
      </c>
      <c r="O35" s="291" t="e">
        <f aca="false">R34</f>
        <v>#REF!</v>
      </c>
      <c r="P35" s="33" t="e">
        <f aca="false">O35*$Q$16*0.5</f>
        <v>#REF!</v>
      </c>
      <c r="Q35" s="33" t="e">
        <f aca="false">IF($Q$17&gt;=B35,0,IF(O35&gt;1,IF(#REF!=1,$Q$14/(($Q$15*2)-$Q$17),-PMT($Q$16/2,($Q$15*2-B34),O35,0)-P35),0))</f>
        <v>#REF!</v>
      </c>
      <c r="R35" s="292" t="e">
        <f aca="false">O35-Q35</f>
        <v>#REF!</v>
      </c>
      <c r="S35" s="291" t="e">
        <f aca="false">V34</f>
        <v>#REF!</v>
      </c>
      <c r="T35" s="33" t="e">
        <f aca="false">S35*$U$16*0.5</f>
        <v>#REF!</v>
      </c>
      <c r="U35" s="33" t="e">
        <f aca="false">IF($U$17&gt;=B35,0,IF(S35&gt;1,IF(#REF!=1,$U$14/(($U$15*2)-$U$17),-PMT($U$16/2,($U$15*2-B34),S35,0)-T35),0))</f>
        <v>#REF!</v>
      </c>
      <c r="V35" s="292" t="e">
        <f aca="false">S35-U35</f>
        <v>#REF!</v>
      </c>
      <c r="W35" s="291" t="e">
        <f aca="false">Z34</f>
        <v>#REF!</v>
      </c>
      <c r="X35" s="33" t="e">
        <f aca="false">W35*$Y$16*0.5</f>
        <v>#REF!</v>
      </c>
      <c r="Y35" s="33" t="e">
        <f aca="false">IF($Y$17&gt;=B35,0,IF(W35&gt;1,IF(#REF!=1,$Y$14/(($Y$15*2)-$Y$17),-PMT($Y$16/2,($Y$15*2-B34),W35,0)-X35),0))</f>
        <v>#REF!</v>
      </c>
      <c r="Z35" s="292" t="e">
        <f aca="false">W35-Y35</f>
        <v>#REF!</v>
      </c>
      <c r="AA35" s="33"/>
      <c r="AB35" s="292"/>
    </row>
    <row r="36" customFormat="false" ht="12.75" hidden="false" customHeight="false" outlineLevel="0" collapsed="false">
      <c r="A36" s="144" t="n">
        <f aca="false">A35</f>
        <v>2008</v>
      </c>
      <c r="B36" s="145" t="n">
        <f aca="false">B35+1</f>
        <v>15</v>
      </c>
      <c r="C36" s="293" t="e">
        <f aca="false">F35</f>
        <v>#REF!</v>
      </c>
      <c r="D36" s="294" t="e">
        <f aca="false">C36*$E$16*0.5</f>
        <v>#REF!</v>
      </c>
      <c r="E36" s="294" t="e">
        <f aca="false">IF($E$17&gt;=B36,0,IF(C36&gt;1,IF(#REF!=1,$E$14/(($E$15*2)-$E$17),-PMT($E$16/2,($E$15*2-B35),C36,0)-D36),0))</f>
        <v>#REF!</v>
      </c>
      <c r="F36" s="296" t="e">
        <f aca="false">C36-E36</f>
        <v>#REF!</v>
      </c>
      <c r="G36" s="293" t="e">
        <f aca="false">J35</f>
        <v>#REF!</v>
      </c>
      <c r="H36" s="294" t="e">
        <f aca="false">G36*$I$16*0.5</f>
        <v>#REF!</v>
      </c>
      <c r="I36" s="294" t="e">
        <f aca="false">IF($I$17&gt;=B36,0,IF(G36&gt;1,IF(#REF!=1,$I$14/(($I$15*2)-$I$17),-PMT($I$16/2,($I$15*2-B35),G36,0)-H36),0))</f>
        <v>#REF!</v>
      </c>
      <c r="J36" s="296" t="e">
        <f aca="false">G36-I36</f>
        <v>#REF!</v>
      </c>
      <c r="K36" s="293" t="e">
        <f aca="false">N35</f>
        <v>#REF!</v>
      </c>
      <c r="L36" s="294" t="e">
        <f aca="false">K36*$M$16*0.5</f>
        <v>#REF!</v>
      </c>
      <c r="M36" s="294" t="e">
        <f aca="false">IF($M$17&gt;=B36,0,IF(K36&gt;1,IF(#REF!=1,$M$14/(($M$15*2)-$M$17),-PMT($M$16/2,($M$15*2-B35),K36,0)-L36),0))</f>
        <v>#REF!</v>
      </c>
      <c r="N36" s="296" t="e">
        <f aca="false">K36-M36</f>
        <v>#REF!</v>
      </c>
      <c r="O36" s="293" t="e">
        <f aca="false">R35</f>
        <v>#REF!</v>
      </c>
      <c r="P36" s="294" t="e">
        <f aca="false">O36*$Q$16*0.5</f>
        <v>#REF!</v>
      </c>
      <c r="Q36" s="294" t="e">
        <f aca="false">IF($Q$17&gt;=B36,0,IF(O36&gt;1,IF(#REF!=1,$Q$14/(($Q$15*2)-$Q$17),-PMT($Q$16/2,($Q$15*2-B35),O36,0)-P36),0))</f>
        <v>#REF!</v>
      </c>
      <c r="R36" s="296" t="e">
        <f aca="false">O36-Q36</f>
        <v>#REF!</v>
      </c>
      <c r="S36" s="293" t="e">
        <f aca="false">V35</f>
        <v>#REF!</v>
      </c>
      <c r="T36" s="294" t="e">
        <f aca="false">S36*$U$16*0.5</f>
        <v>#REF!</v>
      </c>
      <c r="U36" s="294" t="e">
        <f aca="false">IF($U$17&gt;=B36,0,IF(S36&gt;1,IF(#REF!=1,$U$14/(($U$15*2)-$U$17),-PMT($U$16/2,($U$15*2-B35),S36,0)-T36),0))</f>
        <v>#REF!</v>
      </c>
      <c r="V36" s="296" t="e">
        <f aca="false">S36-U36</f>
        <v>#REF!</v>
      </c>
      <c r="W36" s="293" t="e">
        <f aca="false">Z35</f>
        <v>#REF!</v>
      </c>
      <c r="X36" s="294" t="e">
        <f aca="false">W36*$Y$16*0.5</f>
        <v>#REF!</v>
      </c>
      <c r="Y36" s="294" t="e">
        <f aca="false">IF($Y$17&gt;=B36,0,IF(W36&gt;1,IF(#REF!=1,$Y$14/(($Y$15*2)-$Y$17),-PMT($Y$16/2,($Y$15*2-B35),W36,0)-X36),0))</f>
        <v>#REF!</v>
      </c>
      <c r="Z36" s="296" t="e">
        <f aca="false">W36-Y36</f>
        <v>#REF!</v>
      </c>
      <c r="AA36" s="294" t="e">
        <f aca="false">SUM(D35:D36,H35:H36,L35:L36,P35:P36,T35:T36,X35:X36)</f>
        <v>#REF!</v>
      </c>
      <c r="AB36" s="296" t="e">
        <f aca="false">SUM(E35:E36,I35:I36,M35:M36,Q35:Q36,U35:U36,Y35:Y36)</f>
        <v>#REF!</v>
      </c>
    </row>
    <row r="37" customFormat="false" ht="12.75" hidden="false" customHeight="false" outlineLevel="0" collapsed="false">
      <c r="A37" s="162" t="n">
        <f aca="false">A35+1</f>
        <v>2009</v>
      </c>
      <c r="B37" s="163" t="n">
        <f aca="false">B36+1</f>
        <v>16</v>
      </c>
      <c r="C37" s="291" t="e">
        <f aca="false">F36</f>
        <v>#REF!</v>
      </c>
      <c r="D37" s="33" t="e">
        <f aca="false">C37*$E$16*0.5</f>
        <v>#REF!</v>
      </c>
      <c r="E37" s="33" t="e">
        <f aca="false">IF($E$17&gt;=B37,0,IF(C37&gt;1,IF(#REF!=1,$E$14/(($E$15*2)-$E$17),-PMT($E$16/2,($E$15*2-B36),C37,0)-D37),0))</f>
        <v>#REF!</v>
      </c>
      <c r="F37" s="292" t="e">
        <f aca="false">C37-E37</f>
        <v>#REF!</v>
      </c>
      <c r="G37" s="291" t="e">
        <f aca="false">J36</f>
        <v>#REF!</v>
      </c>
      <c r="H37" s="33" t="e">
        <f aca="false">G37*$I$16*0.5</f>
        <v>#REF!</v>
      </c>
      <c r="I37" s="33" t="e">
        <f aca="false">IF($I$17&gt;=B37,0,IF(G37&gt;1,IF(#REF!=1,$I$14/(($I$15*2)-$I$17),-PMT($I$16/2,($I$15*2-B36),G37,0)-H37),0))</f>
        <v>#REF!</v>
      </c>
      <c r="J37" s="292" t="e">
        <f aca="false">G37-I37</f>
        <v>#REF!</v>
      </c>
      <c r="K37" s="291" t="e">
        <f aca="false">N36</f>
        <v>#REF!</v>
      </c>
      <c r="L37" s="33" t="e">
        <f aca="false">K37*$M$16*0.5</f>
        <v>#REF!</v>
      </c>
      <c r="M37" s="33" t="e">
        <f aca="false">IF($M$17&gt;=B37,0,IF(K37&gt;1,IF(#REF!=1,$M$14/(($M$15*2)-$M$17),-PMT($M$16/2,($M$15*2-B36),K37,0)-L37),0))</f>
        <v>#REF!</v>
      </c>
      <c r="N37" s="292" t="e">
        <f aca="false">K37-M37</f>
        <v>#REF!</v>
      </c>
      <c r="O37" s="291" t="e">
        <f aca="false">R36</f>
        <v>#REF!</v>
      </c>
      <c r="P37" s="33" t="e">
        <f aca="false">O37*$Q$16*0.5</f>
        <v>#REF!</v>
      </c>
      <c r="Q37" s="33" t="e">
        <f aca="false">IF($Q$17&gt;=B37,0,IF(O37&gt;1,IF(#REF!=1,$Q$14/(($Q$15*2)-$Q$17),-PMT($Q$16/2,($Q$15*2-B36),O37,0)-P37),0))</f>
        <v>#REF!</v>
      </c>
      <c r="R37" s="292" t="e">
        <f aca="false">O37-Q37</f>
        <v>#REF!</v>
      </c>
      <c r="S37" s="291" t="e">
        <f aca="false">V36</f>
        <v>#REF!</v>
      </c>
      <c r="T37" s="33" t="e">
        <f aca="false">S37*$U$16*0.5</f>
        <v>#REF!</v>
      </c>
      <c r="U37" s="33" t="e">
        <f aca="false">IF($U$17&gt;=B37,0,IF(S37&gt;1,IF(#REF!=1,$U$14/(($U$15*2)-$U$17),-PMT($U$16/2,($U$15*2-B36),S37,0)-T37),0))</f>
        <v>#REF!</v>
      </c>
      <c r="V37" s="292" t="e">
        <f aca="false">S37-U37</f>
        <v>#REF!</v>
      </c>
      <c r="W37" s="291" t="e">
        <f aca="false">Z36</f>
        <v>#REF!</v>
      </c>
      <c r="X37" s="33" t="e">
        <f aca="false">W37*$Y$16*0.5</f>
        <v>#REF!</v>
      </c>
      <c r="Y37" s="33" t="e">
        <f aca="false">IF($Y$17&gt;=B37,0,IF(W37&gt;1,IF(#REF!=1,$Y$14/(($Y$15*2)-$Y$17),-PMT($Y$16/2,($Y$15*2-B36),W37,0)-X37),0))</f>
        <v>#REF!</v>
      </c>
      <c r="Z37" s="292" t="e">
        <f aca="false">W37-Y37</f>
        <v>#REF!</v>
      </c>
      <c r="AA37" s="33"/>
      <c r="AB37" s="292"/>
    </row>
    <row r="38" customFormat="false" ht="12.75" hidden="false" customHeight="false" outlineLevel="0" collapsed="false">
      <c r="A38" s="144" t="n">
        <f aca="false">A37</f>
        <v>2009</v>
      </c>
      <c r="B38" s="145" t="n">
        <f aca="false">B37+1</f>
        <v>17</v>
      </c>
      <c r="C38" s="293" t="e">
        <f aca="false">F37</f>
        <v>#REF!</v>
      </c>
      <c r="D38" s="294" t="e">
        <f aca="false">C38*$E$16*0.5</f>
        <v>#REF!</v>
      </c>
      <c r="E38" s="294" t="e">
        <f aca="false">IF($E$17&gt;=B38,0,IF(C38&gt;1,IF(#REF!=1,$E$14/(($E$15*2)-$E$17),-PMT($E$16/2,($E$15*2-B37),C38,0)-D38),0))</f>
        <v>#REF!</v>
      </c>
      <c r="F38" s="296" t="e">
        <f aca="false">C38-E38</f>
        <v>#REF!</v>
      </c>
      <c r="G38" s="293" t="e">
        <f aca="false">J37</f>
        <v>#REF!</v>
      </c>
      <c r="H38" s="294" t="e">
        <f aca="false">G38*$I$16*0.5</f>
        <v>#REF!</v>
      </c>
      <c r="I38" s="294" t="e">
        <f aca="false">IF($I$17&gt;=B38,0,IF(G38&gt;1,IF(#REF!=1,$I$14/(($I$15*2)-$I$17),-PMT($I$16/2,($I$15*2-B37),G38,0)-H38),0))</f>
        <v>#REF!</v>
      </c>
      <c r="J38" s="296" t="e">
        <f aca="false">G38-I38</f>
        <v>#REF!</v>
      </c>
      <c r="K38" s="293" t="e">
        <f aca="false">N37</f>
        <v>#REF!</v>
      </c>
      <c r="L38" s="294" t="e">
        <f aca="false">K38*$M$16*0.5</f>
        <v>#REF!</v>
      </c>
      <c r="M38" s="294" t="e">
        <f aca="false">IF($M$17&gt;=B38,0,IF(K38&gt;1,IF(#REF!=1,$M$14/(($M$15*2)-$M$17),-PMT($M$16/2,($M$15*2-B37),K38,0)-L38),0))</f>
        <v>#REF!</v>
      </c>
      <c r="N38" s="296" t="e">
        <f aca="false">K38-M38</f>
        <v>#REF!</v>
      </c>
      <c r="O38" s="293" t="e">
        <f aca="false">R37</f>
        <v>#REF!</v>
      </c>
      <c r="P38" s="294" t="e">
        <f aca="false">O38*$Q$16*0.5</f>
        <v>#REF!</v>
      </c>
      <c r="Q38" s="294" t="e">
        <f aca="false">IF($Q$17&gt;=B38,0,IF(O38&gt;1,IF(#REF!=1,$Q$14/(($Q$15*2)-$Q$17),-PMT($Q$16/2,($Q$15*2-B37),O38,0)-P38),0))</f>
        <v>#REF!</v>
      </c>
      <c r="R38" s="296" t="e">
        <f aca="false">O38-Q38</f>
        <v>#REF!</v>
      </c>
      <c r="S38" s="293" t="e">
        <f aca="false">V37</f>
        <v>#REF!</v>
      </c>
      <c r="T38" s="294" t="e">
        <f aca="false">S38*$U$16*0.5</f>
        <v>#REF!</v>
      </c>
      <c r="U38" s="294" t="e">
        <f aca="false">IF($U$17&gt;=B38,0,IF(S38&gt;1,IF(#REF!=1,$U$14/(($U$15*2)-$U$17),-PMT($U$16/2,($U$15*2-B37),S38,0)-T38),0))</f>
        <v>#REF!</v>
      </c>
      <c r="V38" s="296" t="e">
        <f aca="false">S38-U38</f>
        <v>#REF!</v>
      </c>
      <c r="W38" s="293" t="e">
        <f aca="false">Z37</f>
        <v>#REF!</v>
      </c>
      <c r="X38" s="294" t="e">
        <f aca="false">W38*$Y$16*0.5</f>
        <v>#REF!</v>
      </c>
      <c r="Y38" s="294" t="e">
        <f aca="false">IF($Y$17&gt;=B38,0,IF(W38&gt;1,IF(#REF!=1,$Y$14/(($Y$15*2)-$Y$17),-PMT($Y$16/2,($Y$15*2-B37),W38,0)-X38),0))</f>
        <v>#REF!</v>
      </c>
      <c r="Z38" s="296" t="e">
        <f aca="false">W38-Y38</f>
        <v>#REF!</v>
      </c>
      <c r="AA38" s="294" t="e">
        <f aca="false">SUM(D37:D38,H37:H38,L37:L38,P37:P38,T37:T38,X37:X38)</f>
        <v>#REF!</v>
      </c>
      <c r="AB38" s="296" t="e">
        <f aca="false">SUM(E37:E38,I37:I38,M37:M38,Q37:Q38,U37:U38,Y37:Y38)</f>
        <v>#REF!</v>
      </c>
    </row>
    <row r="39" customFormat="false" ht="12.75" hidden="false" customHeight="false" outlineLevel="0" collapsed="false">
      <c r="A39" s="162" t="n">
        <f aca="false">A37+1</f>
        <v>2010</v>
      </c>
      <c r="B39" s="163" t="n">
        <f aca="false">B38+1</f>
        <v>18</v>
      </c>
      <c r="C39" s="291" t="e">
        <f aca="false">F38</f>
        <v>#REF!</v>
      </c>
      <c r="D39" s="33" t="e">
        <f aca="false">C39*$E$16*0.5</f>
        <v>#REF!</v>
      </c>
      <c r="E39" s="33" t="e">
        <f aca="false">IF($E$17&gt;=B39,0,IF(C39&gt;1,IF(#REF!=1,$E$14/(($E$15*2)-$E$17),-PMT($E$16/2,($E$15*2-B38),C39,0)-D39),0))</f>
        <v>#REF!</v>
      </c>
      <c r="F39" s="292" t="e">
        <f aca="false">C39-E39</f>
        <v>#REF!</v>
      </c>
      <c r="G39" s="291" t="e">
        <f aca="false">J38</f>
        <v>#REF!</v>
      </c>
      <c r="H39" s="33" t="e">
        <f aca="false">G39*$I$16*0.5</f>
        <v>#REF!</v>
      </c>
      <c r="I39" s="33" t="e">
        <f aca="false">IF($I$17&gt;=B39,0,IF(G39&gt;1,IF(#REF!=1,$I$14/(($I$15*2)-$I$17),-PMT($I$16/2,($I$15*2-B38),G39,0)-H39),0))</f>
        <v>#REF!</v>
      </c>
      <c r="J39" s="292" t="e">
        <f aca="false">G39-I39</f>
        <v>#REF!</v>
      </c>
      <c r="K39" s="291" t="e">
        <f aca="false">N38</f>
        <v>#REF!</v>
      </c>
      <c r="L39" s="33" t="e">
        <f aca="false">K39*$M$16*0.5</f>
        <v>#REF!</v>
      </c>
      <c r="M39" s="33" t="e">
        <f aca="false">IF($M$17&gt;=B39,0,IF(K39&gt;1,IF(#REF!=1,$M$14/(($M$15*2)-$M$17),-PMT($M$16/2,($M$15*2-B38),K39,0)-L39),0))</f>
        <v>#REF!</v>
      </c>
      <c r="N39" s="292" t="e">
        <f aca="false">K39-M39</f>
        <v>#REF!</v>
      </c>
      <c r="O39" s="291" t="e">
        <f aca="false">R38</f>
        <v>#REF!</v>
      </c>
      <c r="P39" s="33" t="e">
        <f aca="false">O39*$Q$16*0.5</f>
        <v>#REF!</v>
      </c>
      <c r="Q39" s="33" t="e">
        <f aca="false">IF($Q$17&gt;=B39,0,IF(O39&gt;1,IF(#REF!=1,$Q$14/(($Q$15*2)-$Q$17),-PMT($Q$16/2,($Q$15*2-B38),O39,0)-P39),0))</f>
        <v>#REF!</v>
      </c>
      <c r="R39" s="292" t="e">
        <f aca="false">O39-Q39</f>
        <v>#REF!</v>
      </c>
      <c r="S39" s="291" t="e">
        <f aca="false">V38</f>
        <v>#REF!</v>
      </c>
      <c r="T39" s="33" t="e">
        <f aca="false">S39*$U$16*0.5</f>
        <v>#REF!</v>
      </c>
      <c r="U39" s="33" t="e">
        <f aca="false">IF($U$17&gt;=B39,0,IF(S39&gt;1,IF(#REF!=1,$U$14/(($U$15*2)-$U$17),-PMT($U$16/2,($U$15*2-B38),S39,0)-T39),0))</f>
        <v>#REF!</v>
      </c>
      <c r="V39" s="292" t="e">
        <f aca="false">S39-U39</f>
        <v>#REF!</v>
      </c>
      <c r="W39" s="291" t="e">
        <f aca="false">Z38</f>
        <v>#REF!</v>
      </c>
      <c r="X39" s="33" t="e">
        <f aca="false">W39*$Y$16*0.5</f>
        <v>#REF!</v>
      </c>
      <c r="Y39" s="33" t="e">
        <f aca="false">IF($Y$17&gt;=B39,0,IF(W39&gt;1,IF(#REF!=1,$Y$14/(($Y$15*2)-$Y$17),-PMT($Y$16/2,($Y$15*2-B38),W39,0)-X39),0))</f>
        <v>#REF!</v>
      </c>
      <c r="Z39" s="292" t="e">
        <f aca="false">W39-Y39</f>
        <v>#REF!</v>
      </c>
      <c r="AA39" s="33"/>
      <c r="AB39" s="292"/>
    </row>
    <row r="40" customFormat="false" ht="12.75" hidden="false" customHeight="false" outlineLevel="0" collapsed="false">
      <c r="A40" s="144" t="n">
        <f aca="false">A39</f>
        <v>2010</v>
      </c>
      <c r="B40" s="145" t="n">
        <f aca="false">B39+1</f>
        <v>19</v>
      </c>
      <c r="C40" s="293" t="e">
        <f aca="false">F39</f>
        <v>#REF!</v>
      </c>
      <c r="D40" s="294" t="e">
        <f aca="false">C40*$E$16*0.5</f>
        <v>#REF!</v>
      </c>
      <c r="E40" s="294" t="e">
        <f aca="false">IF($E$17&gt;=B40,0,IF(C40&gt;1,IF(#REF!=1,$E$14/(($E$15*2)-$E$17),-PMT($E$16/2,($E$15*2-B39),C40,0)-D40),0))</f>
        <v>#REF!</v>
      </c>
      <c r="F40" s="296" t="e">
        <f aca="false">C40-E40</f>
        <v>#REF!</v>
      </c>
      <c r="G40" s="293" t="e">
        <f aca="false">J39</f>
        <v>#REF!</v>
      </c>
      <c r="H40" s="294" t="e">
        <f aca="false">G40*$I$16*0.5</f>
        <v>#REF!</v>
      </c>
      <c r="I40" s="294" t="e">
        <f aca="false">IF($I$17&gt;=B40,0,IF(G40&gt;1,IF(#REF!=1,$I$14/(($I$15*2)-$I$17),-PMT($I$16/2,($I$15*2-B39),G40,0)-H40),0))</f>
        <v>#REF!</v>
      </c>
      <c r="J40" s="296" t="e">
        <f aca="false">G40-I40</f>
        <v>#REF!</v>
      </c>
      <c r="K40" s="293" t="e">
        <f aca="false">N39</f>
        <v>#REF!</v>
      </c>
      <c r="L40" s="294" t="e">
        <f aca="false">K40*$M$16*0.5</f>
        <v>#REF!</v>
      </c>
      <c r="M40" s="294" t="e">
        <f aca="false">IF($M$17&gt;=B40,0,IF(K40&gt;1,IF(#REF!=1,$M$14/(($M$15*2)-$M$17),-PMT($M$16/2,($M$15*2-B39),K40,0)-L40),0))</f>
        <v>#REF!</v>
      </c>
      <c r="N40" s="296" t="e">
        <f aca="false">K40-M40</f>
        <v>#REF!</v>
      </c>
      <c r="O40" s="293" t="e">
        <f aca="false">R39</f>
        <v>#REF!</v>
      </c>
      <c r="P40" s="294" t="e">
        <f aca="false">O40*$Q$16*0.5</f>
        <v>#REF!</v>
      </c>
      <c r="Q40" s="294" t="e">
        <f aca="false">IF($Q$17&gt;=B40,0,IF(O40&gt;1,IF(#REF!=1,$Q$14/(($Q$15*2)-$Q$17),-PMT($Q$16/2,($Q$15*2-B39),O40,0)-P40),0))</f>
        <v>#REF!</v>
      </c>
      <c r="R40" s="296" t="e">
        <f aca="false">O40-Q40</f>
        <v>#REF!</v>
      </c>
      <c r="S40" s="293" t="e">
        <f aca="false">V39</f>
        <v>#REF!</v>
      </c>
      <c r="T40" s="294" t="e">
        <f aca="false">S40*$U$16*0.5</f>
        <v>#REF!</v>
      </c>
      <c r="U40" s="294" t="e">
        <f aca="false">IF($U$17&gt;=B40,0,IF(S40&gt;1,IF(#REF!=1,$U$14/(($U$15*2)-$U$17),-PMT($U$16/2,($U$15*2-B39),S40,0)-T40),0))</f>
        <v>#REF!</v>
      </c>
      <c r="V40" s="296" t="e">
        <f aca="false">S40-U40</f>
        <v>#REF!</v>
      </c>
      <c r="W40" s="293" t="e">
        <f aca="false">Z39</f>
        <v>#REF!</v>
      </c>
      <c r="X40" s="294" t="e">
        <f aca="false">W40*$Y$16*0.5</f>
        <v>#REF!</v>
      </c>
      <c r="Y40" s="294" t="e">
        <f aca="false">IF($Y$17&gt;=B40,0,IF(W40&gt;1,IF(#REF!=1,$Y$14/(($Y$15*2)-$Y$17),-PMT($Y$16/2,($Y$15*2-B39),W40,0)-X40),0))</f>
        <v>#REF!</v>
      </c>
      <c r="Z40" s="296" t="e">
        <f aca="false">W40-Y40</f>
        <v>#REF!</v>
      </c>
      <c r="AA40" s="294" t="e">
        <f aca="false">SUM(D39:D40,H39:H40,L39:L40,P39:P40,T39:T40,X39:X40)</f>
        <v>#REF!</v>
      </c>
      <c r="AB40" s="296" t="e">
        <f aca="false">SUM(E39:E40,I39:I40,M39:M40,Q39:Q40,U39:U40,Y39:Y40)</f>
        <v>#REF!</v>
      </c>
    </row>
    <row r="41" customFormat="false" ht="12.75" hidden="false" customHeight="false" outlineLevel="0" collapsed="false">
      <c r="A41" s="162" t="n">
        <f aca="false">A39+1</f>
        <v>2011</v>
      </c>
      <c r="B41" s="163" t="n">
        <f aca="false">B40+1</f>
        <v>20</v>
      </c>
      <c r="C41" s="291" t="e">
        <f aca="false">F40</f>
        <v>#REF!</v>
      </c>
      <c r="D41" s="33" t="e">
        <f aca="false">C41*$E$16*0.5</f>
        <v>#REF!</v>
      </c>
      <c r="E41" s="33" t="e">
        <f aca="false">IF($E$17&gt;=B41,0,IF(C41&gt;1,IF(#REF!=1,$E$14/(($E$15*2)-$E$17),-PMT($E$16/2,($E$15*2-B40),C41,0)-D41),0))</f>
        <v>#REF!</v>
      </c>
      <c r="F41" s="292" t="e">
        <f aca="false">C41-E41</f>
        <v>#REF!</v>
      </c>
      <c r="G41" s="291" t="e">
        <f aca="false">J40</f>
        <v>#REF!</v>
      </c>
      <c r="H41" s="33" t="e">
        <f aca="false">G41*$I$16*0.5</f>
        <v>#REF!</v>
      </c>
      <c r="I41" s="33" t="e">
        <f aca="false">IF($I$17&gt;=B41,0,IF(G41&gt;1,IF(#REF!=1,$I$14/(($I$15*2)-$I$17),-PMT($I$16/2,($I$15*2-B40),G41,0)-H41),0))</f>
        <v>#REF!</v>
      </c>
      <c r="J41" s="292" t="e">
        <f aca="false">G41-I41</f>
        <v>#REF!</v>
      </c>
      <c r="K41" s="291" t="e">
        <f aca="false">N40</f>
        <v>#REF!</v>
      </c>
      <c r="L41" s="33" t="e">
        <f aca="false">K41*$M$16*0.5</f>
        <v>#REF!</v>
      </c>
      <c r="M41" s="33" t="e">
        <f aca="false">IF($M$17&gt;=B41,0,IF(K41&gt;1,IF(#REF!=1,$M$14/(($M$15*2)-$M$17),-PMT($M$16/2,($M$15*2-B40),K41,0)-L41),0))</f>
        <v>#REF!</v>
      </c>
      <c r="N41" s="292" t="e">
        <f aca="false">K41-M41</f>
        <v>#REF!</v>
      </c>
      <c r="O41" s="291" t="e">
        <f aca="false">R40</f>
        <v>#REF!</v>
      </c>
      <c r="P41" s="33" t="e">
        <f aca="false">O41*$Q$16*0.5</f>
        <v>#REF!</v>
      </c>
      <c r="Q41" s="33" t="e">
        <f aca="false">IF($Q$17&gt;=B41,0,IF(O41&gt;1,IF(#REF!=1,$Q$14/(($Q$15*2)-$Q$17),-PMT($Q$16/2,($Q$15*2-B40),O41,0)-P41),0))</f>
        <v>#REF!</v>
      </c>
      <c r="R41" s="292" t="e">
        <f aca="false">O41-Q41</f>
        <v>#REF!</v>
      </c>
      <c r="S41" s="291" t="e">
        <f aca="false">V40</f>
        <v>#REF!</v>
      </c>
      <c r="T41" s="33" t="e">
        <f aca="false">S41*$U$16*0.5</f>
        <v>#REF!</v>
      </c>
      <c r="U41" s="33" t="e">
        <f aca="false">IF($U$17&gt;=B41,0,IF(S41&gt;1,IF(#REF!=1,$U$14/(($U$15*2)-$U$17),-PMT($U$16/2,($U$15*2-B40),S41,0)-T41),0))</f>
        <v>#REF!</v>
      </c>
      <c r="V41" s="292" t="e">
        <f aca="false">S41-U41</f>
        <v>#REF!</v>
      </c>
      <c r="W41" s="291" t="e">
        <f aca="false">Z40</f>
        <v>#REF!</v>
      </c>
      <c r="X41" s="33" t="e">
        <f aca="false">W41*$Y$16*0.5</f>
        <v>#REF!</v>
      </c>
      <c r="Y41" s="33" t="e">
        <f aca="false">IF($Y$17&gt;=B41,0,IF(W41&gt;1,IF(#REF!=1,$Y$14/(($Y$15*2)-$Y$17),-PMT($Y$16/2,($Y$15*2-B40),W41,0)-X41),0))</f>
        <v>#REF!</v>
      </c>
      <c r="Z41" s="292" t="e">
        <f aca="false">W41-Y41</f>
        <v>#REF!</v>
      </c>
      <c r="AA41" s="33"/>
      <c r="AB41" s="292"/>
    </row>
    <row r="42" customFormat="false" ht="12.75" hidden="false" customHeight="false" outlineLevel="0" collapsed="false">
      <c r="A42" s="144" t="n">
        <f aca="false">A41</f>
        <v>2011</v>
      </c>
      <c r="B42" s="145" t="n">
        <f aca="false">B41+1</f>
        <v>21</v>
      </c>
      <c r="C42" s="293" t="e">
        <f aca="false">F41</f>
        <v>#REF!</v>
      </c>
      <c r="D42" s="294" t="e">
        <f aca="false">C42*$E$16*0.5</f>
        <v>#REF!</v>
      </c>
      <c r="E42" s="294" t="e">
        <f aca="false">IF($E$17&gt;=B42,0,IF(C42&gt;1,IF(#REF!=1,$E$14/(($E$15*2)-$E$17),-PMT($E$16/2,($E$15*2-B41),C42,0)-D42),0))</f>
        <v>#REF!</v>
      </c>
      <c r="F42" s="296" t="e">
        <f aca="false">C42-E42</f>
        <v>#REF!</v>
      </c>
      <c r="G42" s="293" t="e">
        <f aca="false">J41</f>
        <v>#REF!</v>
      </c>
      <c r="H42" s="294" t="e">
        <f aca="false">G42*$I$16*0.5</f>
        <v>#REF!</v>
      </c>
      <c r="I42" s="294" t="e">
        <f aca="false">IF($I$17&gt;=B42,0,IF(G42&gt;1,IF(#REF!=1,$I$14/(($I$15*2)-$I$17),-PMT($I$16/2,($I$15*2-B41),G42,0)-H42),0))</f>
        <v>#REF!</v>
      </c>
      <c r="J42" s="296" t="e">
        <f aca="false">G42-I42</f>
        <v>#REF!</v>
      </c>
      <c r="K42" s="293" t="e">
        <f aca="false">N41</f>
        <v>#REF!</v>
      </c>
      <c r="L42" s="294" t="e">
        <f aca="false">K42*$M$16*0.5</f>
        <v>#REF!</v>
      </c>
      <c r="M42" s="294" t="e">
        <f aca="false">IF($M$17&gt;=B42,0,IF(K42&gt;1,IF(#REF!=1,$M$14/(($M$15*2)-$M$17),-PMT($M$16/2,($M$15*2-B41),K42,0)-L42),0))</f>
        <v>#REF!</v>
      </c>
      <c r="N42" s="296" t="e">
        <f aca="false">K42-M42</f>
        <v>#REF!</v>
      </c>
      <c r="O42" s="293" t="e">
        <f aca="false">R41</f>
        <v>#REF!</v>
      </c>
      <c r="P42" s="294" t="e">
        <f aca="false">O42*$Q$16*0.5</f>
        <v>#REF!</v>
      </c>
      <c r="Q42" s="294" t="e">
        <f aca="false">IF($Q$17&gt;=B42,0,IF(O42&gt;1,IF(#REF!=1,$Q$14/(($Q$15*2)-$Q$17),-PMT($Q$16/2,($Q$15*2-B41),O42,0)-P42),0))</f>
        <v>#REF!</v>
      </c>
      <c r="R42" s="296" t="e">
        <f aca="false">O42-Q42</f>
        <v>#REF!</v>
      </c>
      <c r="S42" s="293" t="e">
        <f aca="false">V41</f>
        <v>#REF!</v>
      </c>
      <c r="T42" s="294" t="e">
        <f aca="false">S42*$U$16*0.5</f>
        <v>#REF!</v>
      </c>
      <c r="U42" s="294" t="e">
        <f aca="false">IF($U$17&gt;=B42,0,IF(S42&gt;1,IF(#REF!=1,$U$14/(($U$15*2)-$U$17),-PMT($U$16/2,($U$15*2-B41),S42,0)-T42),0))</f>
        <v>#REF!</v>
      </c>
      <c r="V42" s="296" t="e">
        <f aca="false">S42-U42</f>
        <v>#REF!</v>
      </c>
      <c r="W42" s="293" t="e">
        <f aca="false">Z41</f>
        <v>#REF!</v>
      </c>
      <c r="X42" s="294" t="e">
        <f aca="false">W42*$Y$16*0.5</f>
        <v>#REF!</v>
      </c>
      <c r="Y42" s="294" t="e">
        <f aca="false">IF($Y$17&gt;=B42,0,IF(W42&gt;1,IF(#REF!=1,$Y$14/(($Y$15*2)-$Y$17),-PMT($Y$16/2,($Y$15*2-B41),W42,0)-X42),0))</f>
        <v>#REF!</v>
      </c>
      <c r="Z42" s="296" t="e">
        <f aca="false">W42-Y42</f>
        <v>#REF!</v>
      </c>
      <c r="AA42" s="294" t="e">
        <f aca="false">SUM(D41:D42,H41:H42,L41:L42,P41:P42,T41:T42,X41:X42)</f>
        <v>#REF!</v>
      </c>
      <c r="AB42" s="296" t="e">
        <f aca="false">SUM(E41:E42,I41:I42,M41:M42,Q41:Q42,U41:U42,Y41:Y42)</f>
        <v>#REF!</v>
      </c>
    </row>
    <row r="43" customFormat="false" ht="12.75" hidden="false" customHeight="false" outlineLevel="0" collapsed="false">
      <c r="A43" s="162" t="n">
        <f aca="false">A41+1</f>
        <v>2012</v>
      </c>
      <c r="B43" s="163" t="n">
        <f aca="false">B42+1</f>
        <v>22</v>
      </c>
      <c r="C43" s="291" t="e">
        <f aca="false">F42</f>
        <v>#REF!</v>
      </c>
      <c r="D43" s="33" t="e">
        <f aca="false">C43*$E$16*0.5</f>
        <v>#REF!</v>
      </c>
      <c r="E43" s="33" t="e">
        <f aca="false">IF($E$17&gt;=B43,0,IF(C43&gt;1,IF(#REF!=1,$E$14/(($E$15*2)-$E$17),-PMT($E$16/2,($E$15*2-B42),C43,0)-D43),0))</f>
        <v>#REF!</v>
      </c>
      <c r="F43" s="292" t="e">
        <f aca="false">C43-E43</f>
        <v>#REF!</v>
      </c>
      <c r="G43" s="291" t="e">
        <f aca="false">J42</f>
        <v>#REF!</v>
      </c>
      <c r="H43" s="33" t="e">
        <f aca="false">G43*$I$16*0.5</f>
        <v>#REF!</v>
      </c>
      <c r="I43" s="33" t="e">
        <f aca="false">IF($I$17&gt;=B43,0,IF(G43&gt;1,IF(#REF!=1,$I$14/(($I$15*2)-$I$17),-PMT($I$16/2,($I$15*2-B42),G43,0)-H43),0))</f>
        <v>#REF!</v>
      </c>
      <c r="J43" s="292" t="e">
        <f aca="false">G43-I43</f>
        <v>#REF!</v>
      </c>
      <c r="K43" s="291" t="e">
        <f aca="false">N42</f>
        <v>#REF!</v>
      </c>
      <c r="L43" s="33" t="e">
        <f aca="false">K43*$M$16*0.5</f>
        <v>#REF!</v>
      </c>
      <c r="M43" s="33" t="e">
        <f aca="false">IF($M$17&gt;=B43,0,IF(K43&gt;1,IF(#REF!=1,$M$14/(($M$15*2)-$M$17),-PMT($M$16/2,($M$15*2-B42),K43,0)-L43),0))</f>
        <v>#REF!</v>
      </c>
      <c r="N43" s="292" t="e">
        <f aca="false">K43-M43</f>
        <v>#REF!</v>
      </c>
      <c r="O43" s="291" t="e">
        <f aca="false">R42</f>
        <v>#REF!</v>
      </c>
      <c r="P43" s="33" t="e">
        <f aca="false">O43*$Q$16*0.5</f>
        <v>#REF!</v>
      </c>
      <c r="Q43" s="33" t="e">
        <f aca="false">IF($Q$17&gt;=B43,0,IF(O43&gt;1,IF(#REF!=1,$Q$14/(($Q$15*2)-$Q$17),-PMT($Q$16/2,($Q$15*2-B42),O43,0)-P43),0))</f>
        <v>#REF!</v>
      </c>
      <c r="R43" s="292" t="e">
        <f aca="false">O43-Q43</f>
        <v>#REF!</v>
      </c>
      <c r="S43" s="291" t="e">
        <f aca="false">V42</f>
        <v>#REF!</v>
      </c>
      <c r="T43" s="33" t="e">
        <f aca="false">S43*$U$16*0.5</f>
        <v>#REF!</v>
      </c>
      <c r="U43" s="33" t="e">
        <f aca="false">IF($U$17&gt;=B43,0,IF(S43&gt;1,IF(#REF!=1,$U$14/(($U$15*2)-$U$17),-PMT($U$16/2,($U$15*2-B42),S43,0)-T43),0))</f>
        <v>#REF!</v>
      </c>
      <c r="V43" s="292" t="e">
        <f aca="false">S43-U43</f>
        <v>#REF!</v>
      </c>
      <c r="W43" s="291" t="e">
        <f aca="false">Z42</f>
        <v>#REF!</v>
      </c>
      <c r="X43" s="33" t="e">
        <f aca="false">W43*$Y$16*0.5</f>
        <v>#REF!</v>
      </c>
      <c r="Y43" s="33" t="e">
        <f aca="false">IF($Y$17&gt;=B43,0,IF(W43&gt;1,IF(#REF!=1,$Y$14/(($Y$15*2)-$Y$17),-PMT($Y$16/2,($Y$15*2-B42),W43,0)-X43),0))</f>
        <v>#REF!</v>
      </c>
      <c r="Z43" s="292" t="e">
        <f aca="false">W43-Y43</f>
        <v>#REF!</v>
      </c>
      <c r="AA43" s="33"/>
      <c r="AB43" s="292"/>
    </row>
    <row r="44" customFormat="false" ht="12.75" hidden="false" customHeight="false" outlineLevel="0" collapsed="false">
      <c r="A44" s="144" t="n">
        <f aca="false">A43</f>
        <v>2012</v>
      </c>
      <c r="B44" s="145" t="n">
        <f aca="false">B43+1</f>
        <v>23</v>
      </c>
      <c r="C44" s="293" t="e">
        <f aca="false">F43</f>
        <v>#REF!</v>
      </c>
      <c r="D44" s="294" t="e">
        <f aca="false">C44*$E$16*0.5</f>
        <v>#REF!</v>
      </c>
      <c r="E44" s="294" t="e">
        <f aca="false">IF($E$17&gt;=B44,0,IF(C44&gt;1,IF(#REF!=1,$E$14/(($E$15*2)-$E$17),-PMT($E$16/2,($E$15*2-B43),C44,0)-D44),0))</f>
        <v>#REF!</v>
      </c>
      <c r="F44" s="296" t="e">
        <f aca="false">C44-E44</f>
        <v>#REF!</v>
      </c>
      <c r="G44" s="293" t="e">
        <f aca="false">J43</f>
        <v>#REF!</v>
      </c>
      <c r="H44" s="294" t="e">
        <f aca="false">G44*$I$16*0.5</f>
        <v>#REF!</v>
      </c>
      <c r="I44" s="294" t="e">
        <f aca="false">IF($I$17&gt;=B44,0,IF(G44&gt;1,IF(#REF!=1,$I$14/(($I$15*2)-$I$17),-PMT($I$16/2,($I$15*2-B43),G44,0)-H44),0))</f>
        <v>#REF!</v>
      </c>
      <c r="J44" s="296" t="e">
        <f aca="false">G44-I44</f>
        <v>#REF!</v>
      </c>
      <c r="K44" s="293" t="e">
        <f aca="false">N43</f>
        <v>#REF!</v>
      </c>
      <c r="L44" s="294" t="e">
        <f aca="false">K44*$M$16*0.5</f>
        <v>#REF!</v>
      </c>
      <c r="M44" s="294" t="e">
        <f aca="false">IF($M$17&gt;=B44,0,IF(K44&gt;1,IF(#REF!=1,$M$14/(($M$15*2)-$M$17),-PMT($M$16/2,($M$15*2-B43),K44,0)-L44),0))</f>
        <v>#REF!</v>
      </c>
      <c r="N44" s="296" t="e">
        <f aca="false">K44-M44</f>
        <v>#REF!</v>
      </c>
      <c r="O44" s="293" t="e">
        <f aca="false">R43</f>
        <v>#REF!</v>
      </c>
      <c r="P44" s="294" t="e">
        <f aca="false">O44*$Q$16*0.5</f>
        <v>#REF!</v>
      </c>
      <c r="Q44" s="294" t="e">
        <f aca="false">IF($Q$17&gt;=B44,0,IF(O44&gt;1,IF(#REF!=1,$Q$14/(($Q$15*2)-$Q$17),-PMT($Q$16/2,($Q$15*2-B43),O44,0)-P44),0))</f>
        <v>#REF!</v>
      </c>
      <c r="R44" s="296" t="e">
        <f aca="false">O44-Q44</f>
        <v>#REF!</v>
      </c>
      <c r="S44" s="293" t="e">
        <f aca="false">V43</f>
        <v>#REF!</v>
      </c>
      <c r="T44" s="294" t="e">
        <f aca="false">S44*$U$16*0.5</f>
        <v>#REF!</v>
      </c>
      <c r="U44" s="294" t="e">
        <f aca="false">IF($U$17&gt;=B44,0,IF(S44&gt;1,IF(#REF!=1,$U$14/(($U$15*2)-$U$17),-PMT($U$16/2,($U$15*2-B43),S44,0)-T44),0))</f>
        <v>#REF!</v>
      </c>
      <c r="V44" s="296" t="e">
        <f aca="false">S44-U44</f>
        <v>#REF!</v>
      </c>
      <c r="W44" s="293" t="e">
        <f aca="false">Z43</f>
        <v>#REF!</v>
      </c>
      <c r="X44" s="294" t="e">
        <f aca="false">W44*$Y$16*0.5</f>
        <v>#REF!</v>
      </c>
      <c r="Y44" s="294" t="e">
        <f aca="false">IF($Y$17&gt;=B44,0,IF(W44&gt;1,IF(#REF!=1,$Y$14/(($Y$15*2)-$Y$17),-PMT($Y$16/2,($Y$15*2-B43),W44,0)-X44),0))</f>
        <v>#REF!</v>
      </c>
      <c r="Z44" s="296" t="e">
        <f aca="false">W44-Y44</f>
        <v>#REF!</v>
      </c>
      <c r="AA44" s="294" t="e">
        <f aca="false">SUM(D43:D44,H43:H44,L43:L44,P43:P44,T43:T44,X43:X44)</f>
        <v>#REF!</v>
      </c>
      <c r="AB44" s="296" t="e">
        <f aca="false">SUM(E43:E44,I43:I44,M43:M44,Q43:Q44,U43:U44,Y43:Y44)</f>
        <v>#REF!</v>
      </c>
    </row>
    <row r="45" customFormat="false" ht="12.75" hidden="false" customHeight="false" outlineLevel="0" collapsed="false">
      <c r="A45" s="162" t="n">
        <f aca="false">A43+1</f>
        <v>2013</v>
      </c>
      <c r="B45" s="163" t="n">
        <f aca="false">B44+1</f>
        <v>24</v>
      </c>
      <c r="C45" s="291" t="e">
        <f aca="false">F44</f>
        <v>#REF!</v>
      </c>
      <c r="D45" s="33" t="e">
        <f aca="false">C45*$E$16*0.5</f>
        <v>#REF!</v>
      </c>
      <c r="E45" s="33" t="e">
        <f aca="false">IF($E$17&gt;=B45,0,IF(C45&gt;1,IF(#REF!=1,$E$14/(($E$15*2)-$E$17),-PMT($E$16/2,($E$15*2-B44),C45,0)-D45),0))</f>
        <v>#REF!</v>
      </c>
      <c r="F45" s="292" t="e">
        <f aca="false">C45-E45</f>
        <v>#REF!</v>
      </c>
      <c r="G45" s="291" t="e">
        <f aca="false">J44</f>
        <v>#REF!</v>
      </c>
      <c r="H45" s="33" t="e">
        <f aca="false">G45*$I$16*0.5</f>
        <v>#REF!</v>
      </c>
      <c r="I45" s="33" t="e">
        <f aca="false">IF($I$17&gt;=B45,0,IF(G45&gt;1,IF(#REF!=1,$I$14/(($I$15*2)-$I$17),-PMT($I$16/2,($I$15*2-B44),G45,0)-H45),0))</f>
        <v>#REF!</v>
      </c>
      <c r="J45" s="292" t="e">
        <f aca="false">G45-I45</f>
        <v>#REF!</v>
      </c>
      <c r="K45" s="291" t="e">
        <f aca="false">N44</f>
        <v>#REF!</v>
      </c>
      <c r="L45" s="33" t="e">
        <f aca="false">K45*$M$16*0.5</f>
        <v>#REF!</v>
      </c>
      <c r="M45" s="33" t="e">
        <f aca="false">IF($M$17&gt;=B45,0,IF(K45&gt;1,IF(#REF!=1,$M$14/(($M$15*2)-$M$17),-PMT($M$16/2,($M$15*2-B44),K45,0)-L45),0))</f>
        <v>#REF!</v>
      </c>
      <c r="N45" s="292" t="e">
        <f aca="false">K45-M45</f>
        <v>#REF!</v>
      </c>
      <c r="O45" s="291" t="e">
        <f aca="false">R44</f>
        <v>#REF!</v>
      </c>
      <c r="P45" s="33" t="e">
        <f aca="false">O45*$Q$16*0.5</f>
        <v>#REF!</v>
      </c>
      <c r="Q45" s="33" t="e">
        <f aca="false">IF($Q$17&gt;=B45,0,IF(O45&gt;1,IF(#REF!=1,$Q$14/(($Q$15*2)-$Q$17),-PMT($Q$16/2,($Q$15*2-B44),O45,0)-P45),0))</f>
        <v>#REF!</v>
      </c>
      <c r="R45" s="292" t="e">
        <f aca="false">O45-Q45</f>
        <v>#REF!</v>
      </c>
      <c r="S45" s="291" t="e">
        <f aca="false">V44</f>
        <v>#REF!</v>
      </c>
      <c r="T45" s="33" t="e">
        <f aca="false">S45*$U$16*0.5</f>
        <v>#REF!</v>
      </c>
      <c r="U45" s="33" t="e">
        <f aca="false">IF($U$17&gt;=B45,0,IF(S45&gt;1,IF(#REF!=1,$U$14/(($U$15*2)-$U$17),-PMT($U$16/2,($U$15*2-B44),S45,0)-T45),0))</f>
        <v>#REF!</v>
      </c>
      <c r="V45" s="292" t="e">
        <f aca="false">S45-U45</f>
        <v>#REF!</v>
      </c>
      <c r="W45" s="291" t="e">
        <f aca="false">Z44</f>
        <v>#REF!</v>
      </c>
      <c r="X45" s="33" t="e">
        <f aca="false">W45*$Y$16*0.5</f>
        <v>#REF!</v>
      </c>
      <c r="Y45" s="33" t="e">
        <f aca="false">IF($Y$17&gt;=B45,0,IF(W45&gt;1,IF(#REF!=1,$Y$14/(($Y$15*2)-$Y$17),-PMT($Y$16/2,($Y$15*2-B44),W45,0)-X45),0))</f>
        <v>#REF!</v>
      </c>
      <c r="Z45" s="292" t="e">
        <f aca="false">W45-Y45</f>
        <v>#REF!</v>
      </c>
      <c r="AA45" s="33"/>
      <c r="AB45" s="292"/>
    </row>
    <row r="46" customFormat="false" ht="12.75" hidden="false" customHeight="false" outlineLevel="0" collapsed="false">
      <c r="A46" s="144" t="n">
        <f aca="false">A45</f>
        <v>2013</v>
      </c>
      <c r="B46" s="145" t="n">
        <f aca="false">B45+1</f>
        <v>25</v>
      </c>
      <c r="C46" s="293" t="e">
        <f aca="false">F45</f>
        <v>#REF!</v>
      </c>
      <c r="D46" s="294" t="e">
        <f aca="false">C46*$E$16*0.5</f>
        <v>#REF!</v>
      </c>
      <c r="E46" s="294" t="e">
        <f aca="false">IF($E$17&gt;=B46,0,IF(C46&gt;1,IF(#REF!=1,$E$14/(($E$15*2)-$E$17),-PMT($E$16/2,($E$15*2-B45),C46,0)-D46),0))</f>
        <v>#REF!</v>
      </c>
      <c r="F46" s="296" t="e">
        <f aca="false">C46-E46</f>
        <v>#REF!</v>
      </c>
      <c r="G46" s="293" t="e">
        <f aca="false">J45</f>
        <v>#REF!</v>
      </c>
      <c r="H46" s="294" t="e">
        <f aca="false">G46*$I$16*0.5</f>
        <v>#REF!</v>
      </c>
      <c r="I46" s="294" t="e">
        <f aca="false">IF($I$17&gt;=B46,0,IF(G46&gt;1,IF(#REF!=1,$I$14/(($I$15*2)-$I$17),-PMT($I$16/2,($I$15*2-B45),G46,0)-H46),0))</f>
        <v>#REF!</v>
      </c>
      <c r="J46" s="296" t="e">
        <f aca="false">G46-I46</f>
        <v>#REF!</v>
      </c>
      <c r="K46" s="293" t="e">
        <f aca="false">N45</f>
        <v>#REF!</v>
      </c>
      <c r="L46" s="294" t="e">
        <f aca="false">K46*$M$16*0.5</f>
        <v>#REF!</v>
      </c>
      <c r="M46" s="294" t="e">
        <f aca="false">IF($M$17&gt;=B46,0,IF(K46&gt;1,IF(#REF!=1,$M$14/(($M$15*2)-$M$17),-PMT($M$16/2,($M$15*2-B45),K46,0)-L46),0))</f>
        <v>#REF!</v>
      </c>
      <c r="N46" s="296" t="e">
        <f aca="false">K46-M46</f>
        <v>#REF!</v>
      </c>
      <c r="O46" s="293" t="e">
        <f aca="false">R45</f>
        <v>#REF!</v>
      </c>
      <c r="P46" s="294" t="e">
        <f aca="false">O46*$Q$16*0.5</f>
        <v>#REF!</v>
      </c>
      <c r="Q46" s="294" t="e">
        <f aca="false">IF($Q$17&gt;=B46,0,IF(O46&gt;1,IF(#REF!=1,$Q$14/(($Q$15*2)-$Q$17),-PMT($Q$16/2,($Q$15*2-B45),O46,0)-P46),0))</f>
        <v>#REF!</v>
      </c>
      <c r="R46" s="296" t="e">
        <f aca="false">O46-Q46</f>
        <v>#REF!</v>
      </c>
      <c r="S46" s="293" t="e">
        <f aca="false">V45</f>
        <v>#REF!</v>
      </c>
      <c r="T46" s="294" t="e">
        <f aca="false">S46*$U$16*0.5</f>
        <v>#REF!</v>
      </c>
      <c r="U46" s="294" t="e">
        <f aca="false">IF($U$17&gt;=B46,0,IF(S46&gt;1,IF(#REF!=1,$U$14/(($U$15*2)-$U$17),-PMT($U$16/2,($U$15*2-B45),S46,0)-T46),0))</f>
        <v>#REF!</v>
      </c>
      <c r="V46" s="296" t="e">
        <f aca="false">S46-U46</f>
        <v>#REF!</v>
      </c>
      <c r="W46" s="293" t="e">
        <f aca="false">Z45</f>
        <v>#REF!</v>
      </c>
      <c r="X46" s="294" t="e">
        <f aca="false">W46*$Y$16*0.5</f>
        <v>#REF!</v>
      </c>
      <c r="Y46" s="294" t="e">
        <f aca="false">IF($Y$17&gt;=B46,0,IF(W46&gt;1,IF(#REF!=1,$Y$14/(($Y$15*2)-$Y$17),-PMT($Y$16/2,($Y$15*2-B45),W46,0)-X46),0))</f>
        <v>#REF!</v>
      </c>
      <c r="Z46" s="296" t="e">
        <f aca="false">W46-Y46</f>
        <v>#REF!</v>
      </c>
      <c r="AA46" s="294" t="e">
        <f aca="false">SUM(D45:D46,H45:H46,L45:L46,P45:P46,T45:T46,X45:X46)</f>
        <v>#REF!</v>
      </c>
      <c r="AB46" s="296" t="e">
        <f aca="false">SUM(E45:E46,I45:I46,M45:M46,Q45:Q46,U45:U46,Y45:Y46)</f>
        <v>#REF!</v>
      </c>
    </row>
    <row r="47" customFormat="false" ht="12.75" hidden="false" customHeight="false" outlineLevel="0" collapsed="false">
      <c r="A47" s="162" t="n">
        <f aca="false">A45+1</f>
        <v>2014</v>
      </c>
      <c r="B47" s="163" t="n">
        <f aca="false">B46+1</f>
        <v>26</v>
      </c>
      <c r="C47" s="291" t="e">
        <f aca="false">F46</f>
        <v>#REF!</v>
      </c>
      <c r="D47" s="33" t="e">
        <f aca="false">C47*$E$16*0.5</f>
        <v>#REF!</v>
      </c>
      <c r="E47" s="33" t="e">
        <f aca="false">IF($E$17&gt;=B47,0,IF(C47&gt;1,IF(#REF!=1,$E$14/(($E$15*2)-$E$17),-PMT($E$16/2,($E$15*2-B46),C47,0)-D47),0))</f>
        <v>#REF!</v>
      </c>
      <c r="F47" s="292" t="e">
        <f aca="false">C47-E47</f>
        <v>#REF!</v>
      </c>
      <c r="G47" s="291" t="e">
        <f aca="false">J46</f>
        <v>#REF!</v>
      </c>
      <c r="H47" s="33" t="e">
        <f aca="false">G47*$I$16*0.5</f>
        <v>#REF!</v>
      </c>
      <c r="I47" s="33" t="e">
        <f aca="false">IF($I$17&gt;=B47,0,IF(G47&gt;1,IF(#REF!=1,$I$14/(($I$15*2)-$I$17),-PMT($I$16/2,($I$15*2-B46),G47,0)-H47),0))</f>
        <v>#REF!</v>
      </c>
      <c r="J47" s="292" t="e">
        <f aca="false">G47-I47</f>
        <v>#REF!</v>
      </c>
      <c r="K47" s="291" t="e">
        <f aca="false">N46</f>
        <v>#REF!</v>
      </c>
      <c r="L47" s="33" t="e">
        <f aca="false">K47*$M$16*0.5</f>
        <v>#REF!</v>
      </c>
      <c r="M47" s="33" t="e">
        <f aca="false">IF($M$17&gt;=B47,0,IF(K47&gt;1,IF(#REF!=1,$M$14/(($M$15*2)-$M$17),-PMT($M$16/2,($M$15*2-B46),K47,0)-L47),0))</f>
        <v>#REF!</v>
      </c>
      <c r="N47" s="292" t="e">
        <f aca="false">K47-M47</f>
        <v>#REF!</v>
      </c>
      <c r="O47" s="291" t="e">
        <f aca="false">R46</f>
        <v>#REF!</v>
      </c>
      <c r="P47" s="33" t="e">
        <f aca="false">O47*$Q$16*0.5</f>
        <v>#REF!</v>
      </c>
      <c r="Q47" s="33" t="e">
        <f aca="false">IF($Q$17&gt;=B47,0,IF(O47&gt;1,IF(#REF!=1,$Q$14/(($Q$15*2)-$Q$17),-PMT($Q$16/2,($Q$15*2-B46),O47,0)-P47),0))</f>
        <v>#REF!</v>
      </c>
      <c r="R47" s="292" t="e">
        <f aca="false">O47-Q47</f>
        <v>#REF!</v>
      </c>
      <c r="S47" s="291" t="e">
        <f aca="false">V46</f>
        <v>#REF!</v>
      </c>
      <c r="T47" s="33" t="e">
        <f aca="false">S47*$U$16*0.5</f>
        <v>#REF!</v>
      </c>
      <c r="U47" s="33" t="e">
        <f aca="false">IF($U$17&gt;=B47,0,IF(S47&gt;1,IF(#REF!=1,$U$14/(($U$15*2)-$U$17),-PMT($U$16/2,($U$15*2-B46),S47,0)-T47),0))</f>
        <v>#REF!</v>
      </c>
      <c r="V47" s="292" t="e">
        <f aca="false">S47-U47</f>
        <v>#REF!</v>
      </c>
      <c r="W47" s="291" t="e">
        <f aca="false">Z46</f>
        <v>#REF!</v>
      </c>
      <c r="X47" s="33" t="e">
        <f aca="false">W47*$Y$16*0.5</f>
        <v>#REF!</v>
      </c>
      <c r="Y47" s="33" t="e">
        <f aca="false">IF($Y$17&gt;=B47,0,IF(W47&gt;1,IF(#REF!=1,$Y$14/(($Y$15*2)-$Y$17),-PMT($Y$16/2,($Y$15*2-B46),W47,0)-X47),0))</f>
        <v>#REF!</v>
      </c>
      <c r="Z47" s="292" t="e">
        <f aca="false">W47-Y47</f>
        <v>#REF!</v>
      </c>
      <c r="AA47" s="33"/>
      <c r="AB47" s="292"/>
    </row>
    <row r="48" customFormat="false" ht="12.75" hidden="false" customHeight="false" outlineLevel="0" collapsed="false">
      <c r="A48" s="144" t="n">
        <f aca="false">A47</f>
        <v>2014</v>
      </c>
      <c r="B48" s="145" t="n">
        <f aca="false">B47+1</f>
        <v>27</v>
      </c>
      <c r="C48" s="293" t="e">
        <f aca="false">F47</f>
        <v>#REF!</v>
      </c>
      <c r="D48" s="294" t="e">
        <f aca="false">C48*$E$16*0.5</f>
        <v>#REF!</v>
      </c>
      <c r="E48" s="294" t="e">
        <f aca="false">IF($E$17&gt;=B48,0,IF(C48&gt;1,IF(#REF!=1,$E$14/(($E$15*2)-$E$17),-PMT($E$16/2,($E$15*2-B47),C48,0)-D48),0))</f>
        <v>#REF!</v>
      </c>
      <c r="F48" s="296" t="e">
        <f aca="false">C48-E48</f>
        <v>#REF!</v>
      </c>
      <c r="G48" s="293" t="e">
        <f aca="false">J47</f>
        <v>#REF!</v>
      </c>
      <c r="H48" s="294" t="e">
        <f aca="false">G48*$I$16*0.5</f>
        <v>#REF!</v>
      </c>
      <c r="I48" s="294" t="e">
        <f aca="false">IF($I$17&gt;=B48,0,IF(G48&gt;1,IF(#REF!=1,$I$14/(($I$15*2)-$I$17),-PMT($I$16/2,($I$15*2-B47),G48,0)-H48),0))</f>
        <v>#REF!</v>
      </c>
      <c r="J48" s="296" t="e">
        <f aca="false">G48-I48</f>
        <v>#REF!</v>
      </c>
      <c r="K48" s="293" t="e">
        <f aca="false">N47</f>
        <v>#REF!</v>
      </c>
      <c r="L48" s="294" t="e">
        <f aca="false">K48*$M$16*0.5</f>
        <v>#REF!</v>
      </c>
      <c r="M48" s="294" t="e">
        <f aca="false">IF($M$17&gt;=B48,0,IF(K48&gt;1,IF(#REF!=1,$M$14/(($M$15*2)-$M$17),-PMT($M$16/2,($M$15*2-B47),K48,0)-L48),0))</f>
        <v>#REF!</v>
      </c>
      <c r="N48" s="296" t="e">
        <f aca="false">K48-M48</f>
        <v>#REF!</v>
      </c>
      <c r="O48" s="293" t="e">
        <f aca="false">R47</f>
        <v>#REF!</v>
      </c>
      <c r="P48" s="294" t="e">
        <f aca="false">O48*$Q$16*0.5</f>
        <v>#REF!</v>
      </c>
      <c r="Q48" s="294" t="e">
        <f aca="false">IF($Q$17&gt;=B48,0,IF(O48&gt;1,IF(#REF!=1,$Q$14/(($Q$15*2)-$Q$17),-PMT($Q$16/2,($Q$15*2-B47),O48,0)-P48),0))</f>
        <v>#REF!</v>
      </c>
      <c r="R48" s="296" t="e">
        <f aca="false">O48-Q48</f>
        <v>#REF!</v>
      </c>
      <c r="S48" s="293" t="e">
        <f aca="false">V47</f>
        <v>#REF!</v>
      </c>
      <c r="T48" s="294" t="e">
        <f aca="false">S48*$U$16*0.5</f>
        <v>#REF!</v>
      </c>
      <c r="U48" s="294" t="e">
        <f aca="false">IF($U$17&gt;=B48,0,IF(S48&gt;1,IF(#REF!=1,$U$14/(($U$15*2)-$U$17),-PMT($U$16/2,($U$15*2-B47),S48,0)-T48),0))</f>
        <v>#REF!</v>
      </c>
      <c r="V48" s="296" t="e">
        <f aca="false">S48-U48</f>
        <v>#REF!</v>
      </c>
      <c r="W48" s="293" t="e">
        <f aca="false">Z47</f>
        <v>#REF!</v>
      </c>
      <c r="X48" s="294" t="e">
        <f aca="false">W48*$Y$16*0.5</f>
        <v>#REF!</v>
      </c>
      <c r="Y48" s="294" t="e">
        <f aca="false">IF($Y$17&gt;=B48,0,IF(W48&gt;1,IF(#REF!=1,$Y$14/(($Y$15*2)-$Y$17),-PMT($Y$16/2,($Y$15*2-B47),W48,0)-X48),0))</f>
        <v>#REF!</v>
      </c>
      <c r="Z48" s="296" t="e">
        <f aca="false">W48-Y48</f>
        <v>#REF!</v>
      </c>
      <c r="AA48" s="294" t="e">
        <f aca="false">SUM(D47:D48,H47:H48,L47:L48,P47:P48,T47:T48,X47:X48)</f>
        <v>#REF!</v>
      </c>
      <c r="AB48" s="296" t="e">
        <f aca="false">SUM(E47:E48,I47:I48,M47:M48,Q47:Q48,U47:U48,Y47:Y48)</f>
        <v>#REF!</v>
      </c>
    </row>
    <row r="49" customFormat="false" ht="12.75" hidden="false" customHeight="false" outlineLevel="0" collapsed="false">
      <c r="A49" s="162" t="n">
        <f aca="false">A47+1</f>
        <v>2015</v>
      </c>
      <c r="B49" s="163" t="n">
        <f aca="false">B48+1</f>
        <v>28</v>
      </c>
      <c r="C49" s="291" t="e">
        <f aca="false">F48</f>
        <v>#REF!</v>
      </c>
      <c r="D49" s="33" t="e">
        <f aca="false">C49*$E$16*0.5</f>
        <v>#REF!</v>
      </c>
      <c r="E49" s="33" t="e">
        <f aca="false">IF($E$17&gt;=B49,0,IF(C49&gt;1,IF(#REF!=1,$E$14/(($E$15*2)-$E$17),-PMT($E$16/2,($E$15*2-B48),C49,0)-D49),0))</f>
        <v>#REF!</v>
      </c>
      <c r="F49" s="292" t="e">
        <f aca="false">C49-E49</f>
        <v>#REF!</v>
      </c>
      <c r="G49" s="291" t="e">
        <f aca="false">J48</f>
        <v>#REF!</v>
      </c>
      <c r="H49" s="33" t="e">
        <f aca="false">G49*$I$16*0.5</f>
        <v>#REF!</v>
      </c>
      <c r="I49" s="33" t="e">
        <f aca="false">IF($I$17&gt;=B49,0,IF(G49&gt;1,IF(#REF!=1,$I$14/(($I$15*2)-$I$17),-PMT($I$16/2,($I$15*2-B48),G49,0)-H49),0))</f>
        <v>#REF!</v>
      </c>
      <c r="J49" s="292" t="e">
        <f aca="false">G49-I49</f>
        <v>#REF!</v>
      </c>
      <c r="K49" s="291" t="e">
        <f aca="false">N48</f>
        <v>#REF!</v>
      </c>
      <c r="L49" s="33" t="e">
        <f aca="false">K49*$M$16*0.5</f>
        <v>#REF!</v>
      </c>
      <c r="M49" s="33" t="e">
        <f aca="false">IF($M$17&gt;=B49,0,IF(K49&gt;1,IF(#REF!=1,$M$14/(($M$15*2)-$M$17),-PMT($M$16/2,($M$15*2-B48),K49,0)-L49),0))</f>
        <v>#REF!</v>
      </c>
      <c r="N49" s="292" t="e">
        <f aca="false">K49-M49</f>
        <v>#REF!</v>
      </c>
      <c r="O49" s="291" t="e">
        <f aca="false">R48</f>
        <v>#REF!</v>
      </c>
      <c r="P49" s="33" t="e">
        <f aca="false">O49*$Q$16*0.5</f>
        <v>#REF!</v>
      </c>
      <c r="Q49" s="33" t="e">
        <f aca="false">IF($Q$17&gt;=B49,0,IF(O49&gt;1,IF(#REF!=1,$Q$14/(($Q$15*2)-$Q$17),-PMT($Q$16/2,($Q$15*2-B48),O49,0)-P49),0))</f>
        <v>#REF!</v>
      </c>
      <c r="R49" s="292" t="e">
        <f aca="false">O49-Q49</f>
        <v>#REF!</v>
      </c>
      <c r="S49" s="291" t="e">
        <f aca="false">V48</f>
        <v>#REF!</v>
      </c>
      <c r="T49" s="33" t="e">
        <f aca="false">S49*$U$16*0.5</f>
        <v>#REF!</v>
      </c>
      <c r="U49" s="33" t="e">
        <f aca="false">IF($U$17&gt;=B49,0,IF(S49&gt;1,IF(#REF!=1,$U$14/(($U$15*2)-$U$17),-PMT($U$16/2,($U$15*2-B48),S49,0)-T49),0))</f>
        <v>#REF!</v>
      </c>
      <c r="V49" s="292" t="e">
        <f aca="false">S49-U49</f>
        <v>#REF!</v>
      </c>
      <c r="W49" s="291" t="e">
        <f aca="false">Z48</f>
        <v>#REF!</v>
      </c>
      <c r="X49" s="33" t="e">
        <f aca="false">W49*$Y$16*0.5</f>
        <v>#REF!</v>
      </c>
      <c r="Y49" s="33" t="e">
        <f aca="false">IF($Y$17&gt;=B49,0,IF(W49&gt;1,IF(#REF!=1,$Y$14/(($Y$15*2)-$Y$17),-PMT($Y$16/2,($Y$15*2-B48),W49,0)-X49),0))</f>
        <v>#REF!</v>
      </c>
      <c r="Z49" s="292" t="e">
        <f aca="false">W49-Y49</f>
        <v>#REF!</v>
      </c>
      <c r="AA49" s="33"/>
      <c r="AB49" s="292"/>
    </row>
    <row r="50" customFormat="false" ht="12.75" hidden="false" customHeight="false" outlineLevel="0" collapsed="false">
      <c r="A50" s="144" t="n">
        <f aca="false">A49</f>
        <v>2015</v>
      </c>
      <c r="B50" s="145" t="n">
        <f aca="false">B49+1</f>
        <v>29</v>
      </c>
      <c r="C50" s="293" t="e">
        <f aca="false">F49</f>
        <v>#REF!</v>
      </c>
      <c r="D50" s="294" t="e">
        <f aca="false">C50*$E$16*0.5</f>
        <v>#REF!</v>
      </c>
      <c r="E50" s="294" t="e">
        <f aca="false">IF($E$17&gt;=B50,0,IF(C50&gt;1,IF(#REF!=1,$E$14/(($E$15*2)-$E$17),-PMT($E$16/2,($E$15*2-B49),C50,0)-D50),0))</f>
        <v>#REF!</v>
      </c>
      <c r="F50" s="296" t="e">
        <f aca="false">C50-E50</f>
        <v>#REF!</v>
      </c>
      <c r="G50" s="293" t="e">
        <f aca="false">J49</f>
        <v>#REF!</v>
      </c>
      <c r="H50" s="294" t="e">
        <f aca="false">G50*$I$16*0.5</f>
        <v>#REF!</v>
      </c>
      <c r="I50" s="294" t="e">
        <f aca="false">IF($I$17&gt;=B50,0,IF(G50&gt;1,IF(#REF!=1,$I$14/(($I$15*2)-$I$17),-PMT($I$16/2,($I$15*2-B49),G50,0)-H50),0))</f>
        <v>#REF!</v>
      </c>
      <c r="J50" s="296" t="e">
        <f aca="false">G50-I50</f>
        <v>#REF!</v>
      </c>
      <c r="K50" s="293" t="e">
        <f aca="false">N49</f>
        <v>#REF!</v>
      </c>
      <c r="L50" s="294" t="e">
        <f aca="false">K50*$M$16*0.5</f>
        <v>#REF!</v>
      </c>
      <c r="M50" s="294" t="e">
        <f aca="false">IF($M$17&gt;=B50,0,IF(K50&gt;1,IF(#REF!=1,$M$14/(($M$15*2)-$M$17),-PMT($M$16/2,($M$15*2-B49),K50,0)-L50),0))</f>
        <v>#REF!</v>
      </c>
      <c r="N50" s="296" t="e">
        <f aca="false">K50-M50</f>
        <v>#REF!</v>
      </c>
      <c r="O50" s="293" t="e">
        <f aca="false">R49</f>
        <v>#REF!</v>
      </c>
      <c r="P50" s="294" t="e">
        <f aca="false">O50*$Q$16*0.5</f>
        <v>#REF!</v>
      </c>
      <c r="Q50" s="294" t="e">
        <f aca="false">IF($Q$17&gt;=B50,0,IF(O50&gt;1,IF(#REF!=1,$Q$14/(($Q$15*2)-$Q$17),-PMT($Q$16/2,($Q$15*2-B49),O50,0)-P50),0))</f>
        <v>#REF!</v>
      </c>
      <c r="R50" s="296" t="e">
        <f aca="false">O50-Q50</f>
        <v>#REF!</v>
      </c>
      <c r="S50" s="293" t="e">
        <f aca="false">V49</f>
        <v>#REF!</v>
      </c>
      <c r="T50" s="294" t="e">
        <f aca="false">S50*$U$16*0.5</f>
        <v>#REF!</v>
      </c>
      <c r="U50" s="294" t="e">
        <f aca="false">IF($U$17&gt;=B50,0,IF(S50&gt;1,IF(#REF!=1,$U$14/(($U$15*2)-$U$17),-PMT($U$16/2,($U$15*2-B49),S50,0)-T50),0))</f>
        <v>#REF!</v>
      </c>
      <c r="V50" s="296" t="e">
        <f aca="false">S50-U50</f>
        <v>#REF!</v>
      </c>
      <c r="W50" s="293" t="e">
        <f aca="false">Z49</f>
        <v>#REF!</v>
      </c>
      <c r="X50" s="294" t="e">
        <f aca="false">W50*$Y$16*0.5</f>
        <v>#REF!</v>
      </c>
      <c r="Y50" s="294" t="e">
        <f aca="false">IF($Y$17&gt;=B50,0,IF(W50&gt;1,IF(#REF!=1,$Y$14/(($Y$15*2)-$Y$17),-PMT($Y$16/2,($Y$15*2-B49),W50,0)-X50),0))</f>
        <v>#REF!</v>
      </c>
      <c r="Z50" s="296" t="e">
        <f aca="false">W50-Y50</f>
        <v>#REF!</v>
      </c>
      <c r="AA50" s="294" t="e">
        <f aca="false">SUM(D49:D50,H49:H50,L49:L50,P49:P50,T49:T50,X49:X50)</f>
        <v>#REF!</v>
      </c>
      <c r="AB50" s="296" t="e">
        <f aca="false">SUM(E49:E50,I49:I50,M49:M50,Q49:Q50,U49:U50,Y49:Y50)</f>
        <v>#REF!</v>
      </c>
    </row>
    <row r="51" customFormat="false" ht="12.75" hidden="false" customHeight="false" outlineLevel="0" collapsed="false">
      <c r="A51" s="162" t="n">
        <f aca="false">A49+1</f>
        <v>2016</v>
      </c>
      <c r="B51" s="163" t="n">
        <f aca="false">B50+1</f>
        <v>30</v>
      </c>
      <c r="C51" s="291" t="e">
        <f aca="false">F50</f>
        <v>#REF!</v>
      </c>
      <c r="D51" s="33" t="e">
        <f aca="false">C51*$E$16*0.5</f>
        <v>#REF!</v>
      </c>
      <c r="E51" s="33" t="e">
        <f aca="false">IF($E$17&gt;=B51,0,IF(C51&gt;1,IF(#REF!=1,$E$14/(($E$15*2)-$E$17),-PMT($E$16/2,($E$15*2-B50),C51,0)-D51),0))</f>
        <v>#REF!</v>
      </c>
      <c r="F51" s="292" t="e">
        <f aca="false">C51-E51</f>
        <v>#REF!</v>
      </c>
      <c r="G51" s="291" t="e">
        <f aca="false">J50</f>
        <v>#REF!</v>
      </c>
      <c r="H51" s="33" t="e">
        <f aca="false">G51*$I$16*0.5</f>
        <v>#REF!</v>
      </c>
      <c r="I51" s="33" t="e">
        <f aca="false">IF($I$17&gt;=B51,0,IF(G51&gt;1,IF(#REF!=1,$I$14/(($I$15*2)-$I$17),-PMT($I$16/2,($I$15*2-B50),G51,0)-H51),0))</f>
        <v>#REF!</v>
      </c>
      <c r="J51" s="292" t="e">
        <f aca="false">G51-I51</f>
        <v>#REF!</v>
      </c>
      <c r="K51" s="291" t="e">
        <f aca="false">N50</f>
        <v>#REF!</v>
      </c>
      <c r="L51" s="33" t="e">
        <f aca="false">K51*$M$16*0.5</f>
        <v>#REF!</v>
      </c>
      <c r="M51" s="33" t="e">
        <f aca="false">IF($M$17&gt;=B51,0,IF(K51&gt;1,IF(#REF!=1,$M$14/(($M$15*2)-$M$17),-PMT($M$16/2,($M$15*2-B50),K51,0)-L51),0))</f>
        <v>#REF!</v>
      </c>
      <c r="N51" s="292" t="e">
        <f aca="false">K51-M51</f>
        <v>#REF!</v>
      </c>
      <c r="O51" s="291" t="e">
        <f aca="false">R50</f>
        <v>#REF!</v>
      </c>
      <c r="P51" s="33" t="e">
        <f aca="false">O51*$Q$16*0.5</f>
        <v>#REF!</v>
      </c>
      <c r="Q51" s="33" t="e">
        <f aca="false">IF($Q$17&gt;=B51,0,IF(O51&gt;1,IF(#REF!=1,$Q$14/(($Q$15*2)-$Q$17),-PMT($Q$16/2,($Q$15*2-B50),O51,0)-P51),0))</f>
        <v>#REF!</v>
      </c>
      <c r="R51" s="292" t="e">
        <f aca="false">O51-Q51</f>
        <v>#REF!</v>
      </c>
      <c r="S51" s="291" t="e">
        <f aca="false">V50</f>
        <v>#REF!</v>
      </c>
      <c r="T51" s="33" t="e">
        <f aca="false">S51*$U$16*0.5</f>
        <v>#REF!</v>
      </c>
      <c r="U51" s="33" t="e">
        <f aca="false">IF($U$17&gt;=B51,0,IF(S51&gt;1,IF(#REF!=1,$U$14/(($U$15*2)-$U$17),-PMT($U$16/2,($U$15*2-B50),S51,0)-T51),0))</f>
        <v>#REF!</v>
      </c>
      <c r="V51" s="292" t="e">
        <f aca="false">S51-U51</f>
        <v>#REF!</v>
      </c>
      <c r="W51" s="291" t="e">
        <f aca="false">Z50</f>
        <v>#REF!</v>
      </c>
      <c r="X51" s="33" t="e">
        <f aca="false">W51*$Y$16*0.5</f>
        <v>#REF!</v>
      </c>
      <c r="Y51" s="33" t="e">
        <f aca="false">IF($Y$17&gt;=B51,0,IF(W51&gt;1,IF(#REF!=1,$Y$14/(($Y$15*2)-$Y$17),-PMT($Y$16/2,($Y$15*2-B50),W51,0)-X51),0))</f>
        <v>#REF!</v>
      </c>
      <c r="Z51" s="292" t="e">
        <f aca="false">W51-Y51</f>
        <v>#REF!</v>
      </c>
      <c r="AA51" s="33"/>
      <c r="AB51" s="292"/>
    </row>
    <row r="52" customFormat="false" ht="12.75" hidden="false" customHeight="false" outlineLevel="0" collapsed="false">
      <c r="A52" s="144" t="n">
        <f aca="false">A51</f>
        <v>2016</v>
      </c>
      <c r="B52" s="145" t="n">
        <f aca="false">B51+1</f>
        <v>31</v>
      </c>
      <c r="C52" s="293" t="e">
        <f aca="false">F51</f>
        <v>#REF!</v>
      </c>
      <c r="D52" s="294" t="e">
        <f aca="false">C52*$E$16*0.5</f>
        <v>#REF!</v>
      </c>
      <c r="E52" s="294" t="e">
        <f aca="false">IF($E$17&gt;=B52,0,IF(C52&gt;1,IF(#REF!=1,$E$14/(($E$15*2)-$E$17),-PMT($E$16/2,($E$15*2-B51),C52,0)-D52),0))</f>
        <v>#REF!</v>
      </c>
      <c r="F52" s="296" t="e">
        <f aca="false">C52-E52</f>
        <v>#REF!</v>
      </c>
      <c r="G52" s="293" t="e">
        <f aca="false">J51</f>
        <v>#REF!</v>
      </c>
      <c r="H52" s="294" t="e">
        <f aca="false">G52*$I$16*0.5</f>
        <v>#REF!</v>
      </c>
      <c r="I52" s="294" t="e">
        <f aca="false">IF($I$17&gt;=B52,0,IF(G52&gt;1,IF(#REF!=1,$I$14/(($I$15*2)-$I$17),-PMT($I$16/2,($I$15*2-B51),G52,0)-H52),0))</f>
        <v>#REF!</v>
      </c>
      <c r="J52" s="296" t="e">
        <f aca="false">G52-I52</f>
        <v>#REF!</v>
      </c>
      <c r="K52" s="293" t="e">
        <f aca="false">N51</f>
        <v>#REF!</v>
      </c>
      <c r="L52" s="294" t="e">
        <f aca="false">K52*$M$16*0.5</f>
        <v>#REF!</v>
      </c>
      <c r="M52" s="294" t="e">
        <f aca="false">IF($M$17&gt;=B52,0,IF(K52&gt;1,IF(#REF!=1,$M$14/(($M$15*2)-$M$17),-PMT($M$16/2,($M$15*2-B51),K52,0)-L52),0))</f>
        <v>#REF!</v>
      </c>
      <c r="N52" s="296" t="e">
        <f aca="false">K52-M52</f>
        <v>#REF!</v>
      </c>
      <c r="O52" s="293" t="e">
        <f aca="false">R51</f>
        <v>#REF!</v>
      </c>
      <c r="P52" s="294" t="e">
        <f aca="false">O52*$Q$16*0.5</f>
        <v>#REF!</v>
      </c>
      <c r="Q52" s="294" t="e">
        <f aca="false">IF($Q$17&gt;=B52,0,IF(O52&gt;1,IF(#REF!=1,$Q$14/(($Q$15*2)-$Q$17),-PMT($Q$16/2,($Q$15*2-B51),O52,0)-P52),0))</f>
        <v>#REF!</v>
      </c>
      <c r="R52" s="296" t="e">
        <f aca="false">O52-Q52</f>
        <v>#REF!</v>
      </c>
      <c r="S52" s="293" t="e">
        <f aca="false">V51</f>
        <v>#REF!</v>
      </c>
      <c r="T52" s="294" t="e">
        <f aca="false">S52*$U$16*0.5</f>
        <v>#REF!</v>
      </c>
      <c r="U52" s="294" t="e">
        <f aca="false">IF($U$17&gt;=B52,0,IF(S52&gt;1,IF(#REF!=1,$U$14/(($U$15*2)-$U$17),-PMT($U$16/2,($U$15*2-B51),S52,0)-T52),0))</f>
        <v>#REF!</v>
      </c>
      <c r="V52" s="296" t="e">
        <f aca="false">S52-U52</f>
        <v>#REF!</v>
      </c>
      <c r="W52" s="293" t="e">
        <f aca="false">Z51</f>
        <v>#REF!</v>
      </c>
      <c r="X52" s="294" t="e">
        <f aca="false">W52*$Y$16*0.5</f>
        <v>#REF!</v>
      </c>
      <c r="Y52" s="294" t="e">
        <f aca="false">IF($Y$17&gt;=B52,0,IF(W52&gt;1,IF(#REF!=1,$Y$14/(($Y$15*2)-$Y$17),-PMT($Y$16/2,($Y$15*2-B51),W52,0)-X52),0))</f>
        <v>#REF!</v>
      </c>
      <c r="Z52" s="296" t="e">
        <f aca="false">W52-Y52</f>
        <v>#REF!</v>
      </c>
      <c r="AA52" s="294" t="e">
        <f aca="false">SUM(D51:D52,H51:H52,L51:L52,P51:P52,T51:T52,X51:X52)</f>
        <v>#REF!</v>
      </c>
      <c r="AB52" s="296" t="e">
        <f aca="false">SUM(E51:E52,I51:I52,M51:M52,Q51:Q52,U51:U52,Y51:Y52)</f>
        <v>#REF!</v>
      </c>
    </row>
    <row r="53" customFormat="false" ht="12.75" hidden="false" customHeight="false" outlineLevel="0" collapsed="false">
      <c r="A53" s="162" t="n">
        <f aca="false">A51+1</f>
        <v>2017</v>
      </c>
      <c r="B53" s="163" t="n">
        <f aca="false">B52+1</f>
        <v>32</v>
      </c>
      <c r="C53" s="291" t="e">
        <f aca="false">F52</f>
        <v>#REF!</v>
      </c>
      <c r="D53" s="33" t="e">
        <f aca="false">C53*$E$16*0.5</f>
        <v>#REF!</v>
      </c>
      <c r="E53" s="33" t="e">
        <f aca="false">IF($E$17&gt;=B53,0,IF(C53&gt;1,IF(#REF!=1,$E$14/(($E$15*2)-$E$17),-PMT($E$16/2,($E$15*2-B52),C53,0)-D53),0))</f>
        <v>#REF!</v>
      </c>
      <c r="F53" s="292" t="e">
        <f aca="false">C53-E53</f>
        <v>#REF!</v>
      </c>
      <c r="G53" s="291" t="e">
        <f aca="false">J52</f>
        <v>#REF!</v>
      </c>
      <c r="H53" s="33" t="e">
        <f aca="false">G53*$I$16*0.5</f>
        <v>#REF!</v>
      </c>
      <c r="I53" s="33" t="e">
        <f aca="false">IF($I$17&gt;=B53,0,IF(G53&gt;1,IF(#REF!=1,$I$14/(($I$15*2)-$I$17),-PMT($I$16/2,($I$15*2-B52),G53,0)-H53),0))</f>
        <v>#REF!</v>
      </c>
      <c r="J53" s="292" t="e">
        <f aca="false">G53-I53</f>
        <v>#REF!</v>
      </c>
      <c r="K53" s="291" t="e">
        <f aca="false">N52</f>
        <v>#REF!</v>
      </c>
      <c r="L53" s="33" t="e">
        <f aca="false">K53*$M$16*0.5</f>
        <v>#REF!</v>
      </c>
      <c r="M53" s="33" t="e">
        <f aca="false">IF($M$17&gt;=B53,0,IF(K53&gt;1,IF(#REF!=1,$M$14/(($M$15*2)-$M$17),-PMT($M$16/2,($M$15*2-B52),K53,0)-L53),0))</f>
        <v>#REF!</v>
      </c>
      <c r="N53" s="292" t="e">
        <f aca="false">K53-M53</f>
        <v>#REF!</v>
      </c>
      <c r="O53" s="291" t="e">
        <f aca="false">R52</f>
        <v>#REF!</v>
      </c>
      <c r="P53" s="33" t="e">
        <f aca="false">O53*$Q$16*0.5</f>
        <v>#REF!</v>
      </c>
      <c r="Q53" s="33" t="e">
        <f aca="false">IF($Q$17&gt;=B53,0,IF(O53&gt;1,IF(#REF!=1,$Q$14/(($Q$15*2)-$Q$17),-PMT($Q$16/2,($Q$15*2-B52),O53,0)-P53),0))</f>
        <v>#REF!</v>
      </c>
      <c r="R53" s="292" t="e">
        <f aca="false">O53-Q53</f>
        <v>#REF!</v>
      </c>
      <c r="S53" s="291" t="e">
        <f aca="false">V52</f>
        <v>#REF!</v>
      </c>
      <c r="T53" s="33" t="e">
        <f aca="false">S53*$U$16*0.5</f>
        <v>#REF!</v>
      </c>
      <c r="U53" s="33" t="e">
        <f aca="false">IF($U$17&gt;=B53,0,IF(S53&gt;1,IF(#REF!=1,$U$14/(($U$15*2)-$U$17),-PMT($U$16/2,($U$15*2-B52),S53,0)-T53),0))</f>
        <v>#REF!</v>
      </c>
      <c r="V53" s="292" t="e">
        <f aca="false">S53-U53</f>
        <v>#REF!</v>
      </c>
      <c r="W53" s="291" t="e">
        <f aca="false">Z52</f>
        <v>#REF!</v>
      </c>
      <c r="X53" s="33" t="e">
        <f aca="false">W53*$Y$16*0.5</f>
        <v>#REF!</v>
      </c>
      <c r="Y53" s="33" t="e">
        <f aca="false">IF($Y$17&gt;=B53,0,IF(W53&gt;1,IF(#REF!=1,$Y$14/(($Y$15*2)-$Y$17),-PMT($Y$16/2,($Y$15*2-B52),W53,0)-X53),0))</f>
        <v>#REF!</v>
      </c>
      <c r="Z53" s="292" t="e">
        <f aca="false">W53-Y53</f>
        <v>#REF!</v>
      </c>
      <c r="AA53" s="33"/>
      <c r="AB53" s="292"/>
    </row>
    <row r="54" customFormat="false" ht="12.75" hidden="false" customHeight="false" outlineLevel="0" collapsed="false">
      <c r="A54" s="144" t="n">
        <f aca="false">A53</f>
        <v>2017</v>
      </c>
      <c r="B54" s="145" t="n">
        <f aca="false">B53+1</f>
        <v>33</v>
      </c>
      <c r="C54" s="293" t="e">
        <f aca="false">F53</f>
        <v>#REF!</v>
      </c>
      <c r="D54" s="294" t="e">
        <f aca="false">C54*$E$16*0.5</f>
        <v>#REF!</v>
      </c>
      <c r="E54" s="294" t="e">
        <f aca="false">IF($E$17&gt;=B54,0,IF(C54&gt;1,IF(#REF!=1,$E$14/(($E$15*2)-$E$17),-PMT($E$16/2,($E$15*2-B53),C54,0)-D54),0))</f>
        <v>#REF!</v>
      </c>
      <c r="F54" s="296" t="e">
        <f aca="false">C54-E54</f>
        <v>#REF!</v>
      </c>
      <c r="G54" s="293" t="e">
        <f aca="false">J53</f>
        <v>#REF!</v>
      </c>
      <c r="H54" s="294" t="e">
        <f aca="false">G54*$I$16*0.5</f>
        <v>#REF!</v>
      </c>
      <c r="I54" s="294" t="e">
        <f aca="false">IF($I$17&gt;=B54,0,IF(G54&gt;1,IF(#REF!=1,$I$14/(($I$15*2)-$I$17),-PMT($I$16/2,($I$15*2-B53),G54,0)-H54),0))</f>
        <v>#REF!</v>
      </c>
      <c r="J54" s="296" t="e">
        <f aca="false">G54-I54</f>
        <v>#REF!</v>
      </c>
      <c r="K54" s="293" t="e">
        <f aca="false">N53</f>
        <v>#REF!</v>
      </c>
      <c r="L54" s="294" t="e">
        <f aca="false">K54*$M$16*0.5</f>
        <v>#REF!</v>
      </c>
      <c r="M54" s="294" t="e">
        <f aca="false">IF($M$17&gt;=B54,0,IF(K54&gt;1,IF(#REF!=1,$M$14/(($M$15*2)-$M$17),-PMT($M$16/2,($M$15*2-B53),K54,0)-L54),0))</f>
        <v>#REF!</v>
      </c>
      <c r="N54" s="296" t="e">
        <f aca="false">K54-M54</f>
        <v>#REF!</v>
      </c>
      <c r="O54" s="293" t="e">
        <f aca="false">R53</f>
        <v>#REF!</v>
      </c>
      <c r="P54" s="294" t="e">
        <f aca="false">O54*$Q$16*0.5</f>
        <v>#REF!</v>
      </c>
      <c r="Q54" s="294" t="e">
        <f aca="false">IF($Q$17&gt;=B54,0,IF(O54&gt;1,IF(#REF!=1,$Q$14/(($Q$15*2)-$Q$17),-PMT($Q$16/2,($Q$15*2-B53),O54,0)-P54),0))</f>
        <v>#REF!</v>
      </c>
      <c r="R54" s="296" t="e">
        <f aca="false">O54-Q54</f>
        <v>#REF!</v>
      </c>
      <c r="S54" s="293" t="e">
        <f aca="false">V53</f>
        <v>#REF!</v>
      </c>
      <c r="T54" s="294" t="e">
        <f aca="false">S54*$U$16*0.5</f>
        <v>#REF!</v>
      </c>
      <c r="U54" s="294" t="e">
        <f aca="false">IF($U$17&gt;=B54,0,IF(S54&gt;1,IF(#REF!=1,$U$14/(($U$15*2)-$U$17),-PMT($U$16/2,($U$15*2-B53),S54,0)-T54),0))</f>
        <v>#REF!</v>
      </c>
      <c r="V54" s="296" t="e">
        <f aca="false">S54-U54</f>
        <v>#REF!</v>
      </c>
      <c r="W54" s="293" t="e">
        <f aca="false">Z53</f>
        <v>#REF!</v>
      </c>
      <c r="X54" s="294" t="e">
        <f aca="false">W54*$Y$16*0.5</f>
        <v>#REF!</v>
      </c>
      <c r="Y54" s="294" t="e">
        <f aca="false">IF($Y$17&gt;=B54,0,IF(W54&gt;1,IF(#REF!=1,$Y$14/(($Y$15*2)-$Y$17),-PMT($Y$16/2,($Y$15*2-B53),W54,0)-X54),0))</f>
        <v>#REF!</v>
      </c>
      <c r="Z54" s="296" t="e">
        <f aca="false">W54-Y54</f>
        <v>#REF!</v>
      </c>
      <c r="AA54" s="294" t="e">
        <f aca="false">SUM(D53:D54,H53:H54,L53:L54,P53:P54,T53:T54,X53:X54)</f>
        <v>#REF!</v>
      </c>
      <c r="AB54" s="296" t="e">
        <f aca="false">SUM(E53:E54,I53:I54,M53:M54,Q53:Q54,U53:U54,Y53:Y54)</f>
        <v>#REF!</v>
      </c>
    </row>
    <row r="55" customFormat="false" ht="12.75" hidden="false" customHeight="false" outlineLevel="0" collapsed="false">
      <c r="A55" s="162" t="n">
        <f aca="false">A53+1</f>
        <v>2018</v>
      </c>
      <c r="B55" s="163" t="n">
        <f aca="false">B54+1</f>
        <v>34</v>
      </c>
      <c r="C55" s="291" t="e">
        <f aca="false">F54</f>
        <v>#REF!</v>
      </c>
      <c r="D55" s="33" t="e">
        <f aca="false">C55*$E$16*0.5</f>
        <v>#REF!</v>
      </c>
      <c r="E55" s="33" t="e">
        <f aca="false">IF($E$17&gt;=B55,0,IF(C55&gt;1,IF(#REF!=1,$E$14/(($E$15*2)-$E$17),-PMT($E$16/2,($E$15*2-B54),C55,0)-D55),0))</f>
        <v>#REF!</v>
      </c>
      <c r="F55" s="292" t="e">
        <f aca="false">C55-E55</f>
        <v>#REF!</v>
      </c>
      <c r="G55" s="291" t="e">
        <f aca="false">J54</f>
        <v>#REF!</v>
      </c>
      <c r="H55" s="33" t="e">
        <f aca="false">G55*$I$16*0.5</f>
        <v>#REF!</v>
      </c>
      <c r="I55" s="33" t="e">
        <f aca="false">IF($I$17&gt;=B55,0,IF(G55&gt;1,IF(#REF!=1,$I$14/(($I$15*2)-$I$17),-PMT($I$16/2,($I$15*2-B54),G55,0)-H55),0))</f>
        <v>#REF!</v>
      </c>
      <c r="J55" s="292" t="e">
        <f aca="false">G55-I55</f>
        <v>#REF!</v>
      </c>
      <c r="K55" s="291" t="e">
        <f aca="false">N54</f>
        <v>#REF!</v>
      </c>
      <c r="L55" s="33" t="e">
        <f aca="false">K55*$M$16*0.5</f>
        <v>#REF!</v>
      </c>
      <c r="M55" s="33" t="e">
        <f aca="false">IF($M$17&gt;=B55,0,IF(K55&gt;1,IF(#REF!=1,$M$14/(($M$15*2)-$M$17),-PMT($M$16/2,($M$15*2-B54),K55,0)-L55),0))</f>
        <v>#REF!</v>
      </c>
      <c r="N55" s="292" t="e">
        <f aca="false">K55-M55</f>
        <v>#REF!</v>
      </c>
      <c r="O55" s="291" t="e">
        <f aca="false">R54</f>
        <v>#REF!</v>
      </c>
      <c r="P55" s="33" t="e">
        <f aca="false">O55*$Q$16*0.5</f>
        <v>#REF!</v>
      </c>
      <c r="Q55" s="33" t="e">
        <f aca="false">IF($Q$17&gt;=B55,0,IF(O55&gt;1,IF(#REF!=1,$Q$14/(($Q$15*2)-$Q$17),-PMT($Q$16/2,($Q$15*2-B54),O55,0)-P55),0))</f>
        <v>#REF!</v>
      </c>
      <c r="R55" s="292" t="e">
        <f aca="false">O55-Q55</f>
        <v>#REF!</v>
      </c>
      <c r="S55" s="291" t="e">
        <f aca="false">V54</f>
        <v>#REF!</v>
      </c>
      <c r="T55" s="33" t="e">
        <f aca="false">S55*$U$16*0.5</f>
        <v>#REF!</v>
      </c>
      <c r="U55" s="33" t="e">
        <f aca="false">IF($U$17&gt;=B55,0,IF(S55&gt;1,IF(#REF!=1,$U$14/(($U$15*2)-$U$17),-PMT($U$16/2,($U$15*2-B54),S55,0)-T55),0))</f>
        <v>#REF!</v>
      </c>
      <c r="V55" s="292" t="e">
        <f aca="false">S55-U55</f>
        <v>#REF!</v>
      </c>
      <c r="W55" s="291" t="e">
        <f aca="false">Z54</f>
        <v>#REF!</v>
      </c>
      <c r="X55" s="33" t="e">
        <f aca="false">W55*$Y$16*0.5</f>
        <v>#REF!</v>
      </c>
      <c r="Y55" s="33" t="e">
        <f aca="false">IF($Y$17&gt;=B55,0,IF(W55&gt;1,IF(#REF!=1,$Y$14/(($Y$15*2)-$Y$17),-PMT($Y$16/2,($Y$15*2-B54),W55,0)-X55),0))</f>
        <v>#REF!</v>
      </c>
      <c r="Z55" s="292" t="e">
        <f aca="false">W55-Y55</f>
        <v>#REF!</v>
      </c>
      <c r="AA55" s="33"/>
      <c r="AB55" s="292"/>
    </row>
    <row r="56" customFormat="false" ht="12.75" hidden="false" customHeight="false" outlineLevel="0" collapsed="false">
      <c r="A56" s="144" t="n">
        <f aca="false">A55</f>
        <v>2018</v>
      </c>
      <c r="B56" s="145" t="n">
        <f aca="false">B55+1</f>
        <v>35</v>
      </c>
      <c r="C56" s="293" t="e">
        <f aca="false">F55</f>
        <v>#REF!</v>
      </c>
      <c r="D56" s="294" t="e">
        <f aca="false">C56*$E$16*0.5</f>
        <v>#REF!</v>
      </c>
      <c r="E56" s="294" t="e">
        <f aca="false">IF($E$17&gt;=B56,0,IF(C56&gt;1,IF(#REF!=1,$E$14/(($E$15*2)-$E$17),-PMT($E$16/2,($E$15*2-B55),C56,0)-D56),0))</f>
        <v>#REF!</v>
      </c>
      <c r="F56" s="296" t="e">
        <f aca="false">C56-E56</f>
        <v>#REF!</v>
      </c>
      <c r="G56" s="293" t="e">
        <f aca="false">J55</f>
        <v>#REF!</v>
      </c>
      <c r="H56" s="294" t="e">
        <f aca="false">G56*$I$16*0.5</f>
        <v>#REF!</v>
      </c>
      <c r="I56" s="294" t="e">
        <f aca="false">IF($I$17&gt;=B56,0,IF(G56&gt;1,IF(#REF!=1,$I$14/(($I$15*2)-$I$17),-PMT($I$16/2,($I$15*2-B55),G56,0)-H56),0))</f>
        <v>#REF!</v>
      </c>
      <c r="J56" s="296" t="e">
        <f aca="false">G56-I56</f>
        <v>#REF!</v>
      </c>
      <c r="K56" s="293" t="e">
        <f aca="false">N55</f>
        <v>#REF!</v>
      </c>
      <c r="L56" s="294" t="e">
        <f aca="false">K56*$M$16*0.5</f>
        <v>#REF!</v>
      </c>
      <c r="M56" s="294" t="e">
        <f aca="false">IF($M$17&gt;=B56,0,IF(K56&gt;1,IF(#REF!=1,$M$14/(($M$15*2)-$M$17),-PMT($M$16/2,($M$15*2-B55),K56,0)-L56),0))</f>
        <v>#REF!</v>
      </c>
      <c r="N56" s="296" t="e">
        <f aca="false">K56-M56</f>
        <v>#REF!</v>
      </c>
      <c r="O56" s="293" t="e">
        <f aca="false">R55</f>
        <v>#REF!</v>
      </c>
      <c r="P56" s="294" t="e">
        <f aca="false">O56*$Q$16*0.5</f>
        <v>#REF!</v>
      </c>
      <c r="Q56" s="294" t="e">
        <f aca="false">IF($Q$17&gt;=B56,0,IF(O56&gt;1,IF(#REF!=1,$Q$14/(($Q$15*2)-$Q$17),-PMT($Q$16/2,($Q$15*2-B55),O56,0)-P56),0))</f>
        <v>#REF!</v>
      </c>
      <c r="R56" s="296" t="e">
        <f aca="false">O56-Q56</f>
        <v>#REF!</v>
      </c>
      <c r="S56" s="293" t="e">
        <f aca="false">V55</f>
        <v>#REF!</v>
      </c>
      <c r="T56" s="294" t="e">
        <f aca="false">S56*$U$16*0.5</f>
        <v>#REF!</v>
      </c>
      <c r="U56" s="294" t="e">
        <f aca="false">IF($U$17&gt;=B56,0,IF(S56&gt;1,IF(#REF!=1,$U$14/(($U$15*2)-$U$17),-PMT($U$16/2,($U$15*2-B55),S56,0)-T56),0))</f>
        <v>#REF!</v>
      </c>
      <c r="V56" s="296" t="e">
        <f aca="false">S56-U56</f>
        <v>#REF!</v>
      </c>
      <c r="W56" s="293" t="e">
        <f aca="false">Z55</f>
        <v>#REF!</v>
      </c>
      <c r="X56" s="294" t="e">
        <f aca="false">W56*$Y$16*0.5</f>
        <v>#REF!</v>
      </c>
      <c r="Y56" s="294" t="e">
        <f aca="false">IF($Y$17&gt;=B56,0,IF(W56&gt;1,IF(#REF!=1,$Y$14/(($Y$15*2)-$Y$17),-PMT($Y$16/2,($Y$15*2-B55),W56,0)-X56),0))</f>
        <v>#REF!</v>
      </c>
      <c r="Z56" s="296" t="e">
        <f aca="false">W56-Y56</f>
        <v>#REF!</v>
      </c>
      <c r="AA56" s="294" t="e">
        <f aca="false">SUM(D55:D56,H55:H56,L55:L56,P55:P56,T55:T56,X55:X56)</f>
        <v>#REF!</v>
      </c>
      <c r="AB56" s="296" t="e">
        <f aca="false">SUM(E55:E56,I55:I56,M55:M56,Q55:Q56,U55:U56,Y55:Y56)</f>
        <v>#REF!</v>
      </c>
    </row>
    <row r="57" customFormat="false" ht="12.75" hidden="false" customHeight="false" outlineLevel="0" collapsed="false">
      <c r="A57" s="162" t="n">
        <f aca="false">A55+1</f>
        <v>2019</v>
      </c>
      <c r="B57" s="163" t="n">
        <f aca="false">B56+1</f>
        <v>36</v>
      </c>
      <c r="C57" s="291" t="e">
        <f aca="false">F56</f>
        <v>#REF!</v>
      </c>
      <c r="D57" s="33" t="e">
        <f aca="false">C57*$E$16*0.5</f>
        <v>#REF!</v>
      </c>
      <c r="E57" s="33" t="e">
        <f aca="false">IF($E$17&gt;=B57,0,IF(C57&gt;1,IF(#REF!=1,$E$14/(($E$15*2)-$E$17),-PMT($E$16/2,($E$15*2-B56),C57,0)-D57),0))</f>
        <v>#REF!</v>
      </c>
      <c r="F57" s="292" t="e">
        <f aca="false">C57-E57</f>
        <v>#REF!</v>
      </c>
      <c r="G57" s="291" t="e">
        <f aca="false">J56</f>
        <v>#REF!</v>
      </c>
      <c r="H57" s="33" t="e">
        <f aca="false">G57*$I$16*0.5</f>
        <v>#REF!</v>
      </c>
      <c r="I57" s="33" t="e">
        <f aca="false">IF($I$17&gt;=B57,0,IF(G57&gt;1,IF(#REF!=1,$I$14/(($I$15*2)-$I$17),-PMT($I$16/2,($I$15*2-B56),G57,0)-H57),0))</f>
        <v>#REF!</v>
      </c>
      <c r="J57" s="292" t="e">
        <f aca="false">G57-I57</f>
        <v>#REF!</v>
      </c>
      <c r="K57" s="291" t="e">
        <f aca="false">N56</f>
        <v>#REF!</v>
      </c>
      <c r="L57" s="33" t="e">
        <f aca="false">K57*$M$16*0.5</f>
        <v>#REF!</v>
      </c>
      <c r="M57" s="33" t="e">
        <f aca="false">IF($M$17&gt;=B57,0,IF(K57&gt;1,IF(#REF!=1,$M$14/(($M$15*2)-$M$17),-PMT($M$16/2,($M$15*2-B56),K57,0)-L57),0))</f>
        <v>#REF!</v>
      </c>
      <c r="N57" s="292" t="e">
        <f aca="false">K57-M57</f>
        <v>#REF!</v>
      </c>
      <c r="O57" s="291" t="e">
        <f aca="false">R56</f>
        <v>#REF!</v>
      </c>
      <c r="P57" s="33" t="e">
        <f aca="false">O57*$Q$16*0.5</f>
        <v>#REF!</v>
      </c>
      <c r="Q57" s="33" t="e">
        <f aca="false">IF($Q$17&gt;=B57,0,IF(O57&gt;1,IF(#REF!=1,$Q$14/(($Q$15*2)-$Q$17),-PMT($Q$16/2,($Q$15*2-B56),O57,0)-P57),0))</f>
        <v>#REF!</v>
      </c>
      <c r="R57" s="292" t="e">
        <f aca="false">O57-Q57</f>
        <v>#REF!</v>
      </c>
      <c r="S57" s="291" t="e">
        <f aca="false">V56</f>
        <v>#REF!</v>
      </c>
      <c r="T57" s="33" t="e">
        <f aca="false">S57*$U$16*0.5</f>
        <v>#REF!</v>
      </c>
      <c r="U57" s="33" t="e">
        <f aca="false">IF($U$17&gt;=B57,0,IF(S57&gt;1,IF(#REF!=1,$U$14/(($U$15*2)-$U$17),-PMT($U$16/2,($U$15*2-B56),S57,0)-T57),0))</f>
        <v>#REF!</v>
      </c>
      <c r="V57" s="292" t="e">
        <f aca="false">S57-U57</f>
        <v>#REF!</v>
      </c>
      <c r="W57" s="291" t="e">
        <f aca="false">Z56</f>
        <v>#REF!</v>
      </c>
      <c r="X57" s="33" t="e">
        <f aca="false">W57*$Y$16*0.5</f>
        <v>#REF!</v>
      </c>
      <c r="Y57" s="33" t="e">
        <f aca="false">IF($Y$17&gt;=B57,0,IF(W57&gt;1,IF(#REF!=1,$Y$14/(($Y$15*2)-$Y$17),-PMT($Y$16/2,($Y$15*2-B56),W57,0)-X57),0))</f>
        <v>#REF!</v>
      </c>
      <c r="Z57" s="292" t="e">
        <f aca="false">W57-Y57</f>
        <v>#REF!</v>
      </c>
      <c r="AA57" s="33"/>
      <c r="AB57" s="292"/>
    </row>
    <row r="58" customFormat="false" ht="12.75" hidden="false" customHeight="false" outlineLevel="0" collapsed="false">
      <c r="A58" s="144" t="n">
        <f aca="false">A57</f>
        <v>2019</v>
      </c>
      <c r="B58" s="145" t="n">
        <f aca="false">B57+1</f>
        <v>37</v>
      </c>
      <c r="C58" s="293" t="e">
        <f aca="false">F57</f>
        <v>#REF!</v>
      </c>
      <c r="D58" s="294" t="e">
        <f aca="false">C58*$E$16*0.5</f>
        <v>#REF!</v>
      </c>
      <c r="E58" s="294" t="e">
        <f aca="false">IF($E$17&gt;=B58,0,IF(C58&gt;1,IF(#REF!=1,$E$14/(($E$15*2)-$E$17),-PMT($E$16/2,($E$15*2-B57),C58,0)-D58),0))</f>
        <v>#REF!</v>
      </c>
      <c r="F58" s="296" t="e">
        <f aca="false">C58-E58</f>
        <v>#REF!</v>
      </c>
      <c r="G58" s="293" t="e">
        <f aca="false">J57</f>
        <v>#REF!</v>
      </c>
      <c r="H58" s="294" t="e">
        <f aca="false">G58*$I$16*0.5</f>
        <v>#REF!</v>
      </c>
      <c r="I58" s="294" t="e">
        <f aca="false">IF($I$17&gt;=B58,0,IF(G58&gt;1,IF(#REF!=1,$I$14/(($I$15*2)-$I$17),-PMT($I$16/2,($I$15*2-B57),G58,0)-H58),0))</f>
        <v>#REF!</v>
      </c>
      <c r="J58" s="296" t="e">
        <f aca="false">G58-I58</f>
        <v>#REF!</v>
      </c>
      <c r="K58" s="293" t="e">
        <f aca="false">N57</f>
        <v>#REF!</v>
      </c>
      <c r="L58" s="294" t="e">
        <f aca="false">K58*$M$16*0.5</f>
        <v>#REF!</v>
      </c>
      <c r="M58" s="294" t="e">
        <f aca="false">IF($M$17&gt;=B58,0,IF(K58&gt;1,IF(#REF!=1,$M$14/(($M$15*2)-$M$17),-PMT($M$16/2,($M$15*2-B57),K58,0)-L58),0))</f>
        <v>#REF!</v>
      </c>
      <c r="N58" s="296" t="e">
        <f aca="false">K58-M58</f>
        <v>#REF!</v>
      </c>
      <c r="O58" s="293" t="e">
        <f aca="false">R57</f>
        <v>#REF!</v>
      </c>
      <c r="P58" s="294" t="e">
        <f aca="false">O58*$Q$16*0.5</f>
        <v>#REF!</v>
      </c>
      <c r="Q58" s="294" t="e">
        <f aca="false">IF($Q$17&gt;=B58,0,IF(O58&gt;1,IF(#REF!=1,$Q$14/(($Q$15*2)-$Q$17),-PMT($Q$16/2,($Q$15*2-B57),O58,0)-P58),0))</f>
        <v>#REF!</v>
      </c>
      <c r="R58" s="296" t="e">
        <f aca="false">O58-Q58</f>
        <v>#REF!</v>
      </c>
      <c r="S58" s="293" t="e">
        <f aca="false">V57</f>
        <v>#REF!</v>
      </c>
      <c r="T58" s="294" t="e">
        <f aca="false">S58*$U$16*0.5</f>
        <v>#REF!</v>
      </c>
      <c r="U58" s="294" t="e">
        <f aca="false">IF($U$17&gt;=B58,0,IF(S58&gt;1,IF(#REF!=1,$U$14/(($U$15*2)-$U$17),-PMT($U$16/2,($U$15*2-B57),S58,0)-T58),0))</f>
        <v>#REF!</v>
      </c>
      <c r="V58" s="296" t="e">
        <f aca="false">S58-U58</f>
        <v>#REF!</v>
      </c>
      <c r="W58" s="293" t="e">
        <f aca="false">Z57</f>
        <v>#REF!</v>
      </c>
      <c r="X58" s="294" t="e">
        <f aca="false">W58*$Y$16*0.5</f>
        <v>#REF!</v>
      </c>
      <c r="Y58" s="294" t="e">
        <f aca="false">IF($Y$17&gt;=B58,0,IF(W58&gt;1,IF(#REF!=1,$Y$14/(($Y$15*2)-$Y$17),-PMT($Y$16/2,($Y$15*2-B57),W58,0)-X58),0))</f>
        <v>#REF!</v>
      </c>
      <c r="Z58" s="296" t="e">
        <f aca="false">W58-Y58</f>
        <v>#REF!</v>
      </c>
      <c r="AA58" s="294" t="e">
        <f aca="false">SUM(D57:D58,H57:H58,L57:L58,P57:P58,T57:T58,X57:X58)</f>
        <v>#REF!</v>
      </c>
      <c r="AB58" s="296" t="e">
        <f aca="false">SUM(E57:E58,I57:I58,M57:M58,Q57:Q58,U57:U58,Y57:Y58)</f>
        <v>#REF!</v>
      </c>
    </row>
    <row r="59" customFormat="false" ht="12.75" hidden="false" customHeight="false" outlineLevel="0" collapsed="false">
      <c r="A59" s="162" t="n">
        <f aca="false">A57+1</f>
        <v>2020</v>
      </c>
      <c r="B59" s="163" t="n">
        <f aca="false">B58+1</f>
        <v>38</v>
      </c>
      <c r="C59" s="291" t="e">
        <f aca="false">F58</f>
        <v>#REF!</v>
      </c>
      <c r="D59" s="33" t="e">
        <f aca="false">C59*$E$16*0.5</f>
        <v>#REF!</v>
      </c>
      <c r="E59" s="33" t="e">
        <f aca="false">IF($E$17&gt;=B59,0,IF(C59&gt;1,IF(#REF!=1,$E$14/(($E$15*2)-$E$17),-PMT($E$16/2,($E$15*2-B58),C59,0)-D59),0))</f>
        <v>#REF!</v>
      </c>
      <c r="F59" s="292" t="e">
        <f aca="false">C59-E59</f>
        <v>#REF!</v>
      </c>
      <c r="G59" s="291" t="e">
        <f aca="false">J58</f>
        <v>#REF!</v>
      </c>
      <c r="H59" s="33" t="e">
        <f aca="false">G59*$I$16*0.5</f>
        <v>#REF!</v>
      </c>
      <c r="I59" s="33" t="e">
        <f aca="false">IF($I$17&gt;=B59,0,IF(G59&gt;1,IF(#REF!=1,$I$14/(($I$15*2)-$I$17),-PMT($I$16/2,($I$15*2-B58),G59,0)-H59),0))</f>
        <v>#REF!</v>
      </c>
      <c r="J59" s="292" t="e">
        <f aca="false">G59-I59</f>
        <v>#REF!</v>
      </c>
      <c r="K59" s="291" t="e">
        <f aca="false">N58</f>
        <v>#REF!</v>
      </c>
      <c r="L59" s="33" t="e">
        <f aca="false">K59*$M$16*0.5</f>
        <v>#REF!</v>
      </c>
      <c r="M59" s="33" t="e">
        <f aca="false">IF($M$17&gt;=B59,0,IF(K59&gt;1,IF(#REF!=1,$M$14/(($M$15*2)-$M$17),-PMT($M$16/2,($M$15*2-B58),K59,0)-L59),0))</f>
        <v>#REF!</v>
      </c>
      <c r="N59" s="292" t="e">
        <f aca="false">K59-M59</f>
        <v>#REF!</v>
      </c>
      <c r="O59" s="291" t="e">
        <f aca="false">R58</f>
        <v>#REF!</v>
      </c>
      <c r="P59" s="33" t="e">
        <f aca="false">O59*$Q$16*0.5</f>
        <v>#REF!</v>
      </c>
      <c r="Q59" s="33" t="e">
        <f aca="false">IF($Q$17&gt;=B59,0,IF(O59&gt;1,IF(#REF!=1,$Q$14/(($Q$15*2)-$Q$17),-PMT($Q$16/2,($Q$15*2-B58),O59,0)-P59),0))</f>
        <v>#REF!</v>
      </c>
      <c r="R59" s="292" t="e">
        <f aca="false">O59-Q59</f>
        <v>#REF!</v>
      </c>
      <c r="S59" s="291" t="e">
        <f aca="false">V58</f>
        <v>#REF!</v>
      </c>
      <c r="T59" s="33" t="e">
        <f aca="false">S59*$U$16*0.5</f>
        <v>#REF!</v>
      </c>
      <c r="U59" s="33" t="e">
        <f aca="false">IF($U$17&gt;=B59,0,IF(S59&gt;1,IF(#REF!=1,$U$14/(($U$15*2)-$U$17),-PMT($U$16/2,($U$15*2-B58),S59,0)-T59),0))</f>
        <v>#REF!</v>
      </c>
      <c r="V59" s="292" t="e">
        <f aca="false">S59-U59</f>
        <v>#REF!</v>
      </c>
      <c r="W59" s="291" t="e">
        <f aca="false">Z58</f>
        <v>#REF!</v>
      </c>
      <c r="X59" s="33" t="e">
        <f aca="false">W59*$Y$16*0.5</f>
        <v>#REF!</v>
      </c>
      <c r="Y59" s="33" t="e">
        <f aca="false">IF($Y$17&gt;=B59,0,IF(W59&gt;1,IF(#REF!=1,$Y$14/(($Y$15*2)-$Y$17),-PMT($Y$16/2,($Y$15*2-B58),W59,0)-X59),0))</f>
        <v>#REF!</v>
      </c>
      <c r="Z59" s="292" t="e">
        <f aca="false">W59-Y59</f>
        <v>#REF!</v>
      </c>
      <c r="AA59" s="33"/>
      <c r="AB59" s="292"/>
    </row>
    <row r="60" customFormat="false" ht="13.5" hidden="false" customHeight="false" outlineLevel="0" collapsed="false">
      <c r="A60" s="144" t="n">
        <f aca="false">A59</f>
        <v>2020</v>
      </c>
      <c r="B60" s="145" t="n">
        <f aca="false">B59+1</f>
        <v>39</v>
      </c>
      <c r="C60" s="293" t="e">
        <f aca="false">F59</f>
        <v>#REF!</v>
      </c>
      <c r="D60" s="294" t="e">
        <f aca="false">C60*$E$16*0.5</f>
        <v>#REF!</v>
      </c>
      <c r="E60" s="294" t="e">
        <f aca="false">IF($E$17&gt;=B60,0,IF(C60&gt;1,IF(#REF!=1,$E$14/(($E$15*2)-$E$17),-PMT($E$16/2,($E$15*2-B59),C60,0)-D60),0))</f>
        <v>#REF!</v>
      </c>
      <c r="F60" s="296" t="e">
        <f aca="false">C60-E60</f>
        <v>#REF!</v>
      </c>
      <c r="G60" s="293" t="e">
        <f aca="false">J59</f>
        <v>#REF!</v>
      </c>
      <c r="H60" s="294" t="e">
        <f aca="false">G60*$I$16*0.5</f>
        <v>#REF!</v>
      </c>
      <c r="I60" s="294" t="e">
        <f aca="false">IF($I$17&gt;=B60,0,IF(G60&gt;1,IF(#REF!=1,$I$14/(($I$15*2)-$I$17),-PMT($I$16/2,($I$15*2-B59),G60,0)-H60),0))</f>
        <v>#REF!</v>
      </c>
      <c r="J60" s="296" t="e">
        <f aca="false">G60-I60</f>
        <v>#REF!</v>
      </c>
      <c r="K60" s="293" t="e">
        <f aca="false">N59</f>
        <v>#REF!</v>
      </c>
      <c r="L60" s="294" t="e">
        <f aca="false">K60*$M$16*0.5</f>
        <v>#REF!</v>
      </c>
      <c r="M60" s="294" t="e">
        <f aca="false">IF($M$17&gt;=B60,0,IF(K60&gt;1,IF(#REF!=1,$M$14/(($M$15*2)-$M$17),-PMT($M$16/2,($M$15*2-B59),K60,0)-L60),0))</f>
        <v>#REF!</v>
      </c>
      <c r="N60" s="296" t="e">
        <f aca="false">K60-M60</f>
        <v>#REF!</v>
      </c>
      <c r="O60" s="293" t="e">
        <f aca="false">R59</f>
        <v>#REF!</v>
      </c>
      <c r="P60" s="294" t="e">
        <f aca="false">O60*$Q$16*0.5</f>
        <v>#REF!</v>
      </c>
      <c r="Q60" s="294" t="e">
        <f aca="false">IF($Q$17&gt;=B60,0,IF(O60&gt;1,IF(#REF!=1,$Q$14/(($Q$15*2)-$Q$17),-PMT($Q$16/2,($Q$15*2-B59),O60,0)-P60),0))</f>
        <v>#REF!</v>
      </c>
      <c r="R60" s="296" t="e">
        <f aca="false">O60-Q60</f>
        <v>#REF!</v>
      </c>
      <c r="S60" s="293" t="e">
        <f aca="false">V59</f>
        <v>#REF!</v>
      </c>
      <c r="T60" s="294" t="e">
        <f aca="false">S60*$U$16*0.5</f>
        <v>#REF!</v>
      </c>
      <c r="U60" s="294" t="e">
        <f aca="false">IF($U$17&gt;=B60,0,IF(S60&gt;1,IF(#REF!=1,$U$14/(($U$15*2)-$U$17),-PMT($U$16/2,($U$15*2-B59),S60,0)-T60),0))</f>
        <v>#REF!</v>
      </c>
      <c r="V60" s="296" t="e">
        <f aca="false">S60-U60</f>
        <v>#REF!</v>
      </c>
      <c r="W60" s="293" t="e">
        <f aca="false">Z59</f>
        <v>#REF!</v>
      </c>
      <c r="X60" s="294" t="e">
        <f aca="false">W60*$Y$16*0.5</f>
        <v>#REF!</v>
      </c>
      <c r="Y60" s="294" t="e">
        <f aca="false">IF($Y$17&gt;=B60,0,IF(W60&gt;1,IF(#REF!=1,$Y$14/(($Y$15*2)-$Y$17),-PMT($Y$16/2,($Y$15*2-B59),W60,0)-X60),0))</f>
        <v>#REF!</v>
      </c>
      <c r="Z60" s="296" t="e">
        <f aca="false">W60-Y60</f>
        <v>#REF!</v>
      </c>
      <c r="AA60" s="294" t="e">
        <f aca="false">SUM(D59:D60,H59:H60,L59:L60,P59:P60,T59:T60,X59:X60)</f>
        <v>#REF!</v>
      </c>
      <c r="AB60" s="296" t="e">
        <f aca="false">SUM(E59:E60,I59:I60,M59:M60,Q59:Q60,U59:U60,Y59:Y60)</f>
        <v>#REF!</v>
      </c>
    </row>
    <row r="61" customFormat="false" ht="14.25" hidden="false" customHeight="false" outlineLevel="0" collapsed="false">
      <c r="A61" s="297" t="s">
        <v>287</v>
      </c>
      <c r="B61" s="297"/>
      <c r="C61" s="257"/>
      <c r="D61" s="298" t="e">
        <f aca="false">SUM(D21:D60)</f>
        <v>#REF!</v>
      </c>
      <c r="E61" s="298" t="e">
        <f aca="false">SUM(E21:E60)</f>
        <v>#REF!</v>
      </c>
      <c r="F61" s="257"/>
      <c r="G61" s="257"/>
      <c r="H61" s="298" t="e">
        <f aca="false">SUM(H21:H60)</f>
        <v>#REF!</v>
      </c>
      <c r="I61" s="298" t="e">
        <f aca="false">SUM(I21:I60)</f>
        <v>#REF!</v>
      </c>
      <c r="J61" s="257"/>
      <c r="K61" s="257"/>
      <c r="L61" s="298" t="e">
        <f aca="false">SUM(L21:L60)</f>
        <v>#REF!</v>
      </c>
      <c r="M61" s="298" t="e">
        <f aca="false">SUM(M21:M60)</f>
        <v>#REF!</v>
      </c>
      <c r="N61" s="257"/>
      <c r="O61" s="257"/>
      <c r="P61" s="298" t="e">
        <f aca="false">SUM(P21:P60)</f>
        <v>#REF!</v>
      </c>
      <c r="Q61" s="298" t="e">
        <f aca="false">SUM(Q21:Q60)</f>
        <v>#REF!</v>
      </c>
      <c r="R61" s="257"/>
      <c r="S61" s="257"/>
      <c r="T61" s="298" t="e">
        <f aca="false">SUM(T21:T60)</f>
        <v>#REF!</v>
      </c>
      <c r="U61" s="298" t="e">
        <f aca="false">SUM(U21:U60)</f>
        <v>#REF!</v>
      </c>
      <c r="V61" s="257"/>
      <c r="W61" s="257"/>
      <c r="X61" s="298" t="e">
        <f aca="false">SUM(X21:X60)</f>
        <v>#REF!</v>
      </c>
      <c r="Y61" s="298" t="e">
        <f aca="false">SUM(Y21:Y60)</f>
        <v>#REF!</v>
      </c>
      <c r="Z61" s="257"/>
      <c r="AA61" s="298" t="e">
        <f aca="false">SUM(AA21:AA60)</f>
        <v>#REF!</v>
      </c>
      <c r="AB61" s="299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24" min="4" style="1" width="11.7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2" t="s">
        <v>288</v>
      </c>
      <c r="B1" s="300"/>
      <c r="C1" s="301"/>
      <c r="D1" s="302"/>
    </row>
    <row r="2" customFormat="false" ht="15.75" hidden="false" customHeight="false" outlineLevel="0" collapsed="false">
      <c r="A2" s="153" t="n">
        <f aca="false">ASS!A4</f>
        <v>0</v>
      </c>
      <c r="B2" s="302"/>
      <c r="C2" s="303"/>
      <c r="D2" s="302"/>
    </row>
    <row r="3" customFormat="false" ht="12.75" hidden="false" customHeight="false" outlineLevel="0" collapsed="false">
      <c r="A3" s="155" t="s">
        <v>169</v>
      </c>
      <c r="B3" s="156"/>
      <c r="C3" s="156"/>
      <c r="D3" s="156" t="n">
        <f aca="false">CF!D3</f>
        <v>1</v>
      </c>
      <c r="E3" s="156" t="n">
        <f aca="false">CF!E3</f>
        <v>2</v>
      </c>
      <c r="F3" s="156" t="n">
        <f aca="false">CF!F3</f>
        <v>3</v>
      </c>
      <c r="G3" s="157"/>
    </row>
    <row r="4" customFormat="false" ht="12.75" hidden="false" customHeight="false" outlineLevel="0" collapsed="false">
      <c r="A4" s="288" t="s">
        <v>170</v>
      </c>
      <c r="B4" s="25"/>
      <c r="C4" s="25"/>
      <c r="D4" s="304" t="n">
        <f aca="false">CF!D4</f>
        <v>2001</v>
      </c>
      <c r="E4" s="304" t="n">
        <f aca="false">CF!E4</f>
        <v>2002</v>
      </c>
      <c r="F4" s="304" t="n">
        <f aca="false">CF!F4</f>
        <v>2003</v>
      </c>
      <c r="G4" s="160" t="s">
        <v>270</v>
      </c>
    </row>
    <row r="5" customFormat="false" ht="12.75" hidden="false" customHeight="false" outlineLevel="0" collapsed="false">
      <c r="A5" s="144" t="s">
        <v>172</v>
      </c>
      <c r="B5" s="110"/>
      <c r="C5" s="110"/>
      <c r="D5" s="110" t="n">
        <f aca="false">CF!D5</f>
        <v>12</v>
      </c>
      <c r="E5" s="110" t="n">
        <f aca="false">CF!E5</f>
        <v>12</v>
      </c>
      <c r="F5" s="110" t="n">
        <f aca="false">CF!F5</f>
        <v>12</v>
      </c>
      <c r="G5" s="161"/>
    </row>
    <row r="6" customFormat="false" ht="12.75" hidden="false" customHeight="false" outlineLevel="0" collapsed="false">
      <c r="A6" s="25"/>
      <c r="B6" s="25"/>
      <c r="C6" s="25"/>
      <c r="D6" s="25"/>
      <c r="E6" s="25"/>
      <c r="F6" s="25"/>
      <c r="G6" s="25"/>
    </row>
    <row r="7" customFormat="false" ht="12.75" hidden="false" customHeight="false" outlineLevel="0" collapsed="false">
      <c r="A7" s="281" t="s">
        <v>289</v>
      </c>
      <c r="B7" s="305"/>
      <c r="C7" s="156"/>
      <c r="D7" s="156"/>
      <c r="E7" s="156"/>
      <c r="F7" s="156"/>
      <c r="G7" s="157"/>
    </row>
    <row r="8" customFormat="false" ht="12.75" hidden="false" customHeight="false" outlineLevel="0" collapsed="false">
      <c r="A8" s="162" t="s">
        <v>290</v>
      </c>
      <c r="B8" s="25"/>
      <c r="C8" s="25"/>
      <c r="D8" s="64" t="n">
        <f aca="false">CF!D49</f>
        <v>7051.04</v>
      </c>
      <c r="E8" s="64" t="n">
        <f aca="false">CF!E49</f>
        <v>6150.0608</v>
      </c>
      <c r="F8" s="64" t="n">
        <f aca="false">CF!F49</f>
        <v>5249.062016</v>
      </c>
      <c r="G8" s="170" t="n">
        <f aca="false">SUM(D8:F8)</f>
        <v>18450.162816</v>
      </c>
    </row>
    <row r="9" customFormat="false" ht="12.75" hidden="false" customHeight="false" outlineLevel="0" collapsed="false">
      <c r="A9" s="162" t="s">
        <v>291</v>
      </c>
      <c r="B9" s="25"/>
      <c r="C9" s="25"/>
      <c r="D9" s="64" t="n">
        <f aca="false">-DEPR!F16</f>
        <v>-487.5</v>
      </c>
      <c r="E9" s="64" t="n">
        <f aca="false">-DEPR!G16</f>
        <v>-938.47</v>
      </c>
      <c r="F9" s="64" t="n">
        <f aca="false">-DEPR!H16</f>
        <v>-866.71</v>
      </c>
      <c r="G9" s="170" t="n">
        <f aca="false">SUM(D9:F9)</f>
        <v>-2292.68</v>
      </c>
    </row>
    <row r="10" customFormat="false" ht="12.75" hidden="false" customHeight="false" outlineLevel="0" collapsed="false">
      <c r="A10" s="162" t="s">
        <v>292</v>
      </c>
      <c r="B10" s="25"/>
      <c r="C10" s="25"/>
      <c r="D10" s="180" t="n">
        <f aca="false">ASS!V31*DEBT</f>
        <v>0</v>
      </c>
      <c r="E10" s="180" t="n">
        <f aca="false">ASS!W31*DEBT</f>
        <v>0</v>
      </c>
      <c r="F10" s="180" t="n">
        <f aca="false">ASS!X31*DEBT</f>
        <v>0</v>
      </c>
      <c r="G10" s="170" t="n">
        <f aca="false">SUM(D10:F10)</f>
        <v>0</v>
      </c>
    </row>
    <row r="11" customFormat="false" ht="12.75" hidden="false" customHeight="false" outlineLevel="0" collapsed="false">
      <c r="A11" s="162" t="s">
        <v>293</v>
      </c>
      <c r="B11" s="25"/>
      <c r="C11" s="25"/>
      <c r="D11" s="206" t="n">
        <f aca="false">SUM(D8:D10)</f>
        <v>6563.54</v>
      </c>
      <c r="E11" s="206" t="n">
        <f aca="false">SUM(E8:E10)</f>
        <v>5211.5908</v>
      </c>
      <c r="F11" s="206" t="n">
        <f aca="false">SUM(F8:F10)</f>
        <v>4382.352016</v>
      </c>
      <c r="G11" s="207" t="n">
        <f aca="false">SUM(D11:F11)</f>
        <v>16157.482816</v>
      </c>
    </row>
    <row r="12" customFormat="false" ht="12.75" hidden="false" customHeight="false" outlineLevel="0" collapsed="false">
      <c r="A12" s="162" t="s">
        <v>294</v>
      </c>
      <c r="B12" s="25"/>
      <c r="C12" s="25"/>
      <c r="D12" s="60" t="n">
        <f aca="false">ASS!I14+USTAX</f>
        <v>0.4</v>
      </c>
      <c r="E12" s="60" t="n">
        <f aca="false">ASS!I14+USTAX</f>
        <v>0.4</v>
      </c>
      <c r="F12" s="60" t="n">
        <f aca="false">ASS!I14+USTAX</f>
        <v>0.4</v>
      </c>
      <c r="G12" s="165"/>
    </row>
    <row r="13" customFormat="false" ht="12.75" hidden="false" customHeight="false" outlineLevel="0" collapsed="false">
      <c r="A13" s="162"/>
      <c r="B13" s="25"/>
      <c r="C13" s="25"/>
      <c r="D13" s="25"/>
      <c r="E13" s="25"/>
      <c r="F13" s="25"/>
      <c r="G13" s="165"/>
    </row>
    <row r="14" customFormat="false" ht="12.75" hidden="false" customHeight="false" outlineLevel="0" collapsed="false">
      <c r="A14" s="201" t="s">
        <v>295</v>
      </c>
      <c r="B14" s="306"/>
      <c r="C14" s="110"/>
      <c r="D14" s="307" t="n">
        <f aca="false">IF(D11&lt;0,0,D11*D12)</f>
        <v>2625.416</v>
      </c>
      <c r="E14" s="307" t="n">
        <f aca="false">IF(E11&lt;0,0,E11*E12)</f>
        <v>2084.63632</v>
      </c>
      <c r="F14" s="307" t="n">
        <f aca="false">IF(F11&lt;0,0,F11*F12)</f>
        <v>1752.9408064</v>
      </c>
      <c r="G14" s="308" t="n">
        <f aca="false">SUM(D14:F14)</f>
        <v>6462.9931264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296</v>
      </c>
      <c r="B1" s="236"/>
      <c r="C1" s="199"/>
      <c r="D1" s="0"/>
    </row>
    <row r="2" customFormat="false" ht="16.5" hidden="false" customHeight="false" outlineLevel="0" collapsed="false">
      <c r="A2" s="153" t="n">
        <f aca="false">ASS!A4</f>
        <v>0</v>
      </c>
      <c r="B2" s="58"/>
      <c r="C2" s="200"/>
      <c r="D2" s="0"/>
    </row>
    <row r="3" customFormat="false" ht="13.5" hidden="false" customHeight="false" outlineLevel="0" collapsed="false">
      <c r="A3" s="309"/>
      <c r="B3" s="310"/>
      <c r="C3" s="311" t="s">
        <v>297</v>
      </c>
      <c r="D3" s="311" t="s">
        <v>298</v>
      </c>
      <c r="E3" s="312" t="s">
        <v>299</v>
      </c>
    </row>
    <row r="4" customFormat="false" ht="13.5" hidden="false" customHeight="false" outlineLevel="0" collapsed="false">
      <c r="A4" s="313" t="s">
        <v>300</v>
      </c>
      <c r="B4" s="25"/>
      <c r="C4" s="64" t="n">
        <f aca="false">COST</f>
        <v>13000</v>
      </c>
      <c r="D4" s="64" t="n">
        <f aca="false">C4</f>
        <v>13000</v>
      </c>
      <c r="E4" s="314" t="n">
        <f aca="false">D4</f>
        <v>13000</v>
      </c>
    </row>
    <row r="5" customFormat="false" ht="12.75" hidden="false" customHeight="false" outlineLevel="0" collapsed="false">
      <c r="A5" s="313" t="s">
        <v>301</v>
      </c>
      <c r="B5" s="25"/>
      <c r="C5" s="64" t="n">
        <f aca="false">-option</f>
        <v>-900</v>
      </c>
      <c r="D5" s="64" t="n">
        <f aca="false">C5</f>
        <v>-900</v>
      </c>
      <c r="E5" s="64" t="n">
        <f aca="false">D5</f>
        <v>-900</v>
      </c>
      <c r="F5" s="18" t="s">
        <v>302</v>
      </c>
      <c r="G5" s="15"/>
      <c r="H5" s="15"/>
    </row>
    <row r="6" customFormat="false" ht="13.5" hidden="false" customHeight="false" outlineLevel="0" collapsed="false">
      <c r="A6" s="313" t="s">
        <v>303</v>
      </c>
      <c r="B6" s="25"/>
      <c r="C6" s="177" t="n">
        <f aca="false">-WCAP</f>
        <v>-0</v>
      </c>
      <c r="D6" s="177" t="n">
        <f aca="false">C6</f>
        <v>-0</v>
      </c>
      <c r="E6" s="315" t="n">
        <f aca="false">D6</f>
        <v>-0</v>
      </c>
      <c r="F6" s="316" t="n">
        <v>0.0375</v>
      </c>
      <c r="G6" s="317" t="n">
        <v>0.07219</v>
      </c>
      <c r="H6" s="317" t="n">
        <v>0.06667</v>
      </c>
    </row>
    <row r="7" customFormat="false" ht="13.5" hidden="false" customHeight="false" outlineLevel="0" collapsed="false">
      <c r="A7" s="318" t="s">
        <v>304</v>
      </c>
      <c r="B7" s="319"/>
      <c r="C7" s="320" t="n">
        <f aca="false">SUM(C4:C6)</f>
        <v>12100</v>
      </c>
      <c r="D7" s="320" t="n">
        <f aca="false">SUM(D4:D6)</f>
        <v>12100</v>
      </c>
      <c r="E7" s="321" t="n">
        <f aca="false">SUM(E4:E6)</f>
        <v>12100</v>
      </c>
      <c r="F7" s="322" t="n">
        <f aca="false">F11/12*F6</f>
        <v>0.0375</v>
      </c>
      <c r="G7" s="322" t="n">
        <f aca="false">IF($F$11=12,G6,(12-$F$11)/12*F6+($F$11)/12*G6)</f>
        <v>0.07219</v>
      </c>
      <c r="H7" s="322" t="n">
        <f aca="false">IF($F$11=12,H6,(12-$F$11)/12*G6+($F$11)/12*H6)</f>
        <v>0.06667</v>
      </c>
    </row>
    <row r="8" customFormat="false" ht="13.5" hidden="false" customHeight="false" outlineLevel="0" collapsed="false">
      <c r="F8" s="322"/>
      <c r="G8" s="322"/>
      <c r="H8" s="322"/>
    </row>
    <row r="9" customFormat="false" ht="12.75" hidden="false" customHeight="false" outlineLevel="0" collapsed="false">
      <c r="A9" s="155" t="s">
        <v>169</v>
      </c>
      <c r="B9" s="156"/>
      <c r="C9" s="156"/>
      <c r="D9" s="156"/>
      <c r="E9" s="156"/>
      <c r="F9" s="156" t="n">
        <v>1</v>
      </c>
      <c r="G9" s="156" t="n">
        <f aca="false">F9+1</f>
        <v>2</v>
      </c>
      <c r="H9" s="156" t="n">
        <f aca="false">G9+1</f>
        <v>3</v>
      </c>
      <c r="I9" s="157"/>
    </row>
    <row r="10" customFormat="false" ht="12.75" hidden="false" customHeight="false" outlineLevel="0" collapsed="false">
      <c r="A10" s="158" t="s">
        <v>170</v>
      </c>
      <c r="B10" s="25"/>
      <c r="C10" s="25"/>
      <c r="D10" s="25"/>
      <c r="E10" s="25"/>
      <c r="F10" s="22" t="n">
        <f aca="false">CF!D4</f>
        <v>2001</v>
      </c>
      <c r="G10" s="22" t="n">
        <f aca="false">CF!E4</f>
        <v>2002</v>
      </c>
      <c r="H10" s="22" t="n">
        <f aca="false">CF!F4</f>
        <v>2003</v>
      </c>
      <c r="I10" s="160" t="s">
        <v>270</v>
      </c>
    </row>
    <row r="11" customFormat="false" ht="12.75" hidden="false" customHeight="false" outlineLevel="0" collapsed="false">
      <c r="A11" s="144" t="s">
        <v>172</v>
      </c>
      <c r="B11" s="110"/>
      <c r="C11" s="110"/>
      <c r="D11" s="110"/>
      <c r="E11" s="110"/>
      <c r="F11" s="110" t="n">
        <f aca="false">CF!D5</f>
        <v>12</v>
      </c>
      <c r="G11" s="110" t="n">
        <f aca="false">CF!E5</f>
        <v>12</v>
      </c>
      <c r="H11" s="110" t="n">
        <f aca="false">CF!F5</f>
        <v>12</v>
      </c>
      <c r="I11" s="161"/>
    </row>
    <row r="12" customFormat="false" ht="12.7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customFormat="false" ht="12.75" hidden="false" customHeight="false" outlineLevel="0" collapsed="false">
      <c r="A13" s="281" t="s">
        <v>305</v>
      </c>
      <c r="B13" s="305"/>
      <c r="C13" s="305"/>
      <c r="D13" s="305"/>
      <c r="E13" s="323" t="s">
        <v>306</v>
      </c>
      <c r="F13" s="156"/>
      <c r="G13" s="156"/>
      <c r="H13" s="156"/>
      <c r="I13" s="157"/>
      <c r="J13" s="25"/>
    </row>
    <row r="14" customFormat="false" ht="12.75" hidden="false" customHeight="false" outlineLevel="0" collapsed="false">
      <c r="A14" s="162" t="s">
        <v>307</v>
      </c>
      <c r="B14" s="25"/>
      <c r="C14" s="25"/>
      <c r="D14" s="25"/>
      <c r="E14" s="160" t="s">
        <v>308</v>
      </c>
      <c r="F14" s="25"/>
      <c r="G14" s="25"/>
      <c r="H14" s="25"/>
      <c r="I14" s="165"/>
      <c r="J14" s="25"/>
    </row>
    <row r="15" customFormat="false" ht="12.75" hidden="false" customHeight="false" outlineLevel="0" collapsed="false">
      <c r="A15" s="162"/>
      <c r="B15" s="25" t="s">
        <v>309</v>
      </c>
      <c r="C15" s="25"/>
      <c r="D15" s="25"/>
      <c r="E15" s="170" t="n">
        <f aca="false">ASS!I19</f>
        <v>13000</v>
      </c>
      <c r="F15" s="324" t="n">
        <f aca="false">$E$15*F7</f>
        <v>487.5</v>
      </c>
      <c r="G15" s="229" t="n">
        <f aca="false">$E$15*G7</f>
        <v>938.47</v>
      </c>
      <c r="H15" s="229" t="n">
        <f aca="false">$E$15*H7</f>
        <v>866.71</v>
      </c>
      <c r="I15" s="170" t="n">
        <f aca="false">SUM(F15:H15)</f>
        <v>2292.68</v>
      </c>
      <c r="J15" s="25"/>
    </row>
    <row r="16" customFormat="false" ht="12.75" hidden="false" customHeight="false" outlineLevel="0" collapsed="false">
      <c r="A16" s="162"/>
      <c r="B16" s="25" t="s">
        <v>310</v>
      </c>
      <c r="C16" s="25" t="s">
        <v>1</v>
      </c>
      <c r="D16" s="25"/>
      <c r="E16" s="170" t="n">
        <f aca="false">SUM(E15)</f>
        <v>13000</v>
      </c>
      <c r="F16" s="64" t="n">
        <f aca="false">SUM(F15)</f>
        <v>487.5</v>
      </c>
      <c r="G16" s="64" t="n">
        <f aca="false">SUM(G15)</f>
        <v>938.47</v>
      </c>
      <c r="H16" s="64" t="n">
        <f aca="false">SUM(H15)</f>
        <v>866.71</v>
      </c>
      <c r="I16" s="170" t="n">
        <f aca="false">SUM(F16:H16)</f>
        <v>2292.68</v>
      </c>
      <c r="J16" s="25"/>
    </row>
    <row r="17" customFormat="false" ht="12.75" hidden="false" customHeight="false" outlineLevel="0" collapsed="false">
      <c r="A17" s="162"/>
      <c r="B17" s="325" t="s">
        <v>311</v>
      </c>
      <c r="C17" s="25" t="s">
        <v>1</v>
      </c>
      <c r="D17" s="25"/>
      <c r="E17" s="170"/>
      <c r="F17" s="326" t="n">
        <f aca="false">F16</f>
        <v>487.5</v>
      </c>
      <c r="G17" s="326" t="n">
        <f aca="false">F17+G16</f>
        <v>1425.97</v>
      </c>
      <c r="H17" s="326" t="n">
        <f aca="false">G17+H16</f>
        <v>2292.68</v>
      </c>
      <c r="I17" s="170"/>
      <c r="J17" s="25"/>
    </row>
    <row r="18" customFormat="false" ht="12.75" hidden="false" customHeight="false" outlineLevel="0" collapsed="false">
      <c r="A18" s="162"/>
      <c r="B18" s="25"/>
      <c r="C18" s="25" t="s">
        <v>1</v>
      </c>
      <c r="D18" s="25"/>
      <c r="E18" s="170"/>
      <c r="F18" s="64"/>
      <c r="G18" s="64"/>
      <c r="H18" s="64"/>
      <c r="I18" s="170"/>
      <c r="J18" s="25"/>
    </row>
    <row r="19" customFormat="false" ht="12.75" hidden="false" customHeight="false" outlineLevel="0" collapsed="false">
      <c r="A19" s="162"/>
      <c r="B19" s="25" t="s">
        <v>312</v>
      </c>
      <c r="C19" s="62"/>
      <c r="D19" s="25"/>
      <c r="E19" s="170"/>
      <c r="F19" s="64" t="n">
        <v>0</v>
      </c>
      <c r="G19" s="64" t="n">
        <f aca="false">F22</f>
        <v>12512.5</v>
      </c>
      <c r="H19" s="64" t="n">
        <f aca="false">G22</f>
        <v>11574.03</v>
      </c>
      <c r="I19" s="170"/>
      <c r="J19" s="25"/>
    </row>
    <row r="20" customFormat="false" ht="12.75" hidden="false" customHeight="false" outlineLevel="0" collapsed="false">
      <c r="A20" s="162"/>
      <c r="B20" s="25" t="s">
        <v>313</v>
      </c>
      <c r="C20" s="25"/>
      <c r="D20" s="25"/>
      <c r="E20" s="170"/>
      <c r="F20" s="64" t="n">
        <f aca="false">E16</f>
        <v>13000</v>
      </c>
      <c r="G20" s="64" t="n">
        <v>0</v>
      </c>
      <c r="H20" s="64" t="n">
        <v>0</v>
      </c>
      <c r="I20" s="170" t="n">
        <f aca="false">SUM(F20:H20)</f>
        <v>13000</v>
      </c>
      <c r="J20" s="25"/>
    </row>
    <row r="21" customFormat="false" ht="12.75" hidden="false" customHeight="false" outlineLevel="0" collapsed="false">
      <c r="A21" s="162"/>
      <c r="B21" s="25" t="s">
        <v>314</v>
      </c>
      <c r="C21" s="25"/>
      <c r="D21" s="25"/>
      <c r="E21" s="170"/>
      <c r="F21" s="177" t="n">
        <f aca="false">-F16</f>
        <v>-487.5</v>
      </c>
      <c r="G21" s="177" t="n">
        <f aca="false">-G15</f>
        <v>-938.47</v>
      </c>
      <c r="H21" s="177" t="n">
        <f aca="false">-H15</f>
        <v>-866.71</v>
      </c>
      <c r="I21" s="170" t="n">
        <f aca="false">SUM(F21:H21)</f>
        <v>-2292.68</v>
      </c>
      <c r="J21" s="25"/>
    </row>
    <row r="22" customFormat="false" ht="12.75" hidden="false" customHeight="false" outlineLevel="0" collapsed="false">
      <c r="A22" s="144"/>
      <c r="B22" s="110" t="s">
        <v>315</v>
      </c>
      <c r="C22" s="110" t="s">
        <v>1</v>
      </c>
      <c r="D22" s="110"/>
      <c r="E22" s="327"/>
      <c r="F22" s="229" t="n">
        <f aca="false">SUM(F19:F21)</f>
        <v>12512.5</v>
      </c>
      <c r="G22" s="229" t="n">
        <f aca="false">SUM(G19:G21)</f>
        <v>11574.03</v>
      </c>
      <c r="H22" s="229" t="n">
        <f aca="false">SUM(H19:H21)</f>
        <v>10707.32</v>
      </c>
      <c r="I22" s="327"/>
      <c r="J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customFormat="false" ht="12.75" hidden="false" customHeight="false" outlineLevel="0" collapsed="false">
      <c r="A24" s="281" t="s">
        <v>316</v>
      </c>
      <c r="B24" s="305"/>
      <c r="C24" s="305"/>
      <c r="D24" s="156"/>
      <c r="E24" s="157"/>
      <c r="F24" s="156"/>
      <c r="G24" s="156"/>
      <c r="H24" s="156"/>
      <c r="I24" s="157"/>
      <c r="J24" s="25"/>
    </row>
    <row r="25" customFormat="false" ht="12.75" hidden="false" customHeight="false" outlineLevel="0" collapsed="false">
      <c r="A25" s="162" t="s">
        <v>317</v>
      </c>
      <c r="B25" s="25"/>
      <c r="C25" s="25"/>
      <c r="D25" s="25"/>
      <c r="E25" s="165"/>
      <c r="F25" s="25"/>
      <c r="G25" s="25"/>
      <c r="H25" s="25"/>
      <c r="I25" s="165"/>
      <c r="J25" s="25"/>
    </row>
    <row r="26" customFormat="false" ht="12.75" hidden="false" customHeight="false" outlineLevel="0" collapsed="false">
      <c r="A26" s="162"/>
      <c r="B26" s="25" t="s">
        <v>309</v>
      </c>
      <c r="C26" s="25"/>
      <c r="D26" s="25"/>
      <c r="E26" s="170" t="n">
        <f aca="false">ASS!$I21</f>
        <v>13000</v>
      </c>
      <c r="F26" s="64" t="n">
        <f aca="false">IF(ASS!$J$21=0,0,IF(F9&lt;ASS!$J$21+1,SLN(ASS!$I$21,0,ASS!$J$21)*F11/12,IF(F9=ASS!$J$21+1,SLN(ASS!$I$21,0,ASS!$J$21)*(12-F11)/12,0)))</f>
        <v>456.140350877193</v>
      </c>
      <c r="G26" s="64" t="n">
        <f aca="false">IF(ASS!$J$21=0,0,IF(G9=ASS!$J$21,$E$26-SUM($F$26:F26),IF(G9&gt;TERM,0,IF(G9&lt;ASS!$J$21+1,SLN(ASS!$I$21,0,ASS!$J$21)*G11/12,IF(G9=ASS!$J$21+1,SLN(ASS!$I$21,0,ASS!$J$21)*(12-G11)/12,0)))))</f>
        <v>456.140350877193</v>
      </c>
      <c r="H26" s="64" t="n">
        <f aca="false">IF(ASS!$J$21=0,0,IF(H9=ASS!$J$21,$E$26-SUM($F$26:G26),IF(H9&gt;TERM,0,IF(H9&lt;ASS!$J$21+1,SLN(ASS!$I$21,0,ASS!$J$21)*H11/12,IF(H9=ASS!$J$21+1,SLN(ASS!$I$21,0,ASS!$J$21)*(12-H11)/12,0)))))</f>
        <v>456.140350877193</v>
      </c>
      <c r="I26" s="170" t="n">
        <f aca="false">SUM(F26:H26)</f>
        <v>1368.42105263158</v>
      </c>
      <c r="J26" s="25"/>
    </row>
    <row r="27" customFormat="false" ht="12.75" hidden="false" customHeight="false" outlineLevel="0" collapsed="false">
      <c r="A27" s="162"/>
      <c r="B27" s="25" t="s">
        <v>318</v>
      </c>
      <c r="C27" s="62"/>
      <c r="D27" s="25"/>
      <c r="E27" s="170" t="n">
        <f aca="false">SUM(E26)</f>
        <v>13000</v>
      </c>
      <c r="F27" s="64" t="n">
        <f aca="false">SUM(F26)</f>
        <v>456.140350877193</v>
      </c>
      <c r="G27" s="64" t="n">
        <f aca="false">G26</f>
        <v>456.140350877193</v>
      </c>
      <c r="H27" s="64" t="n">
        <f aca="false">H26</f>
        <v>456.140350877193</v>
      </c>
      <c r="I27" s="170" t="n">
        <f aca="false">SUM(F27:H27)</f>
        <v>1368.42105263158</v>
      </c>
      <c r="J27" s="25"/>
    </row>
    <row r="28" customFormat="false" ht="12.75" hidden="false" customHeight="false" outlineLevel="0" collapsed="false">
      <c r="A28" s="162"/>
      <c r="B28" s="117" t="s">
        <v>319</v>
      </c>
      <c r="C28" s="328"/>
      <c r="D28" s="117"/>
      <c r="E28" s="329"/>
      <c r="F28" s="330" t="n">
        <f aca="false">F27</f>
        <v>456.140350877193</v>
      </c>
      <c r="G28" s="330" t="n">
        <f aca="false">F28+G27</f>
        <v>912.280701754386</v>
      </c>
      <c r="H28" s="330" t="n">
        <f aca="false">G28+H27</f>
        <v>1368.42105263158</v>
      </c>
      <c r="I28" s="170"/>
      <c r="J28" s="25"/>
    </row>
    <row r="29" customFormat="false" ht="12.75" hidden="false" customHeight="false" outlineLevel="0" collapsed="false">
      <c r="A29" s="162"/>
      <c r="B29" s="25"/>
      <c r="C29" s="62"/>
      <c r="D29" s="25"/>
      <c r="E29" s="170"/>
      <c r="F29" s="64"/>
      <c r="G29" s="64"/>
      <c r="H29" s="64"/>
      <c r="I29" s="170"/>
      <c r="J29" s="25"/>
    </row>
    <row r="30" customFormat="false" ht="12.75" hidden="false" customHeight="false" outlineLevel="0" collapsed="false">
      <c r="A30" s="162"/>
      <c r="B30" s="25" t="s">
        <v>320</v>
      </c>
      <c r="C30" s="62"/>
      <c r="D30" s="25"/>
      <c r="E30" s="170"/>
      <c r="F30" s="64" t="n">
        <v>0</v>
      </c>
      <c r="G30" s="64" t="n">
        <f aca="false">F33</f>
        <v>12543.8596491228</v>
      </c>
      <c r="H30" s="64" t="n">
        <f aca="false">G33</f>
        <v>12087.7192982456</v>
      </c>
      <c r="I30" s="170"/>
      <c r="J30" s="25"/>
    </row>
    <row r="31" customFormat="false" ht="12.75" hidden="false" customHeight="false" outlineLevel="0" collapsed="false">
      <c r="A31" s="162"/>
      <c r="B31" s="25" t="s">
        <v>313</v>
      </c>
      <c r="C31" s="25"/>
      <c r="D31" s="25"/>
      <c r="E31" s="170"/>
      <c r="F31" s="64" t="n">
        <f aca="false">E27</f>
        <v>13000</v>
      </c>
      <c r="G31" s="64" t="n">
        <v>0</v>
      </c>
      <c r="H31" s="64" t="n">
        <v>0</v>
      </c>
      <c r="I31" s="170" t="n">
        <f aca="false">SUM(F31:H31)</f>
        <v>13000</v>
      </c>
      <c r="J31" s="25"/>
    </row>
    <row r="32" customFormat="false" ht="12.75" hidden="false" customHeight="false" outlineLevel="0" collapsed="false">
      <c r="A32" s="162"/>
      <c r="B32" s="25" t="s">
        <v>314</v>
      </c>
      <c r="C32" s="25"/>
      <c r="D32" s="25"/>
      <c r="E32" s="170"/>
      <c r="F32" s="177" t="n">
        <f aca="false">-F27</f>
        <v>-456.140350877193</v>
      </c>
      <c r="G32" s="177" t="n">
        <f aca="false">-G27</f>
        <v>-456.140350877193</v>
      </c>
      <c r="H32" s="177" t="n">
        <f aca="false">-H27</f>
        <v>-456.140350877193</v>
      </c>
      <c r="I32" s="170" t="n">
        <f aca="false">SUM(F32:H32)</f>
        <v>-1368.42105263158</v>
      </c>
      <c r="J32" s="25"/>
    </row>
    <row r="33" customFormat="false" ht="12.75" hidden="false" customHeight="false" outlineLevel="0" collapsed="false">
      <c r="A33" s="144"/>
      <c r="B33" s="110" t="s">
        <v>321</v>
      </c>
      <c r="C33" s="110" t="s">
        <v>1</v>
      </c>
      <c r="D33" s="110"/>
      <c r="E33" s="327"/>
      <c r="F33" s="229" t="n">
        <f aca="false">SUM(F30:F32)</f>
        <v>12543.8596491228</v>
      </c>
      <c r="G33" s="229" t="n">
        <f aca="false">SUM(G30:G32)</f>
        <v>12087.7192982456</v>
      </c>
      <c r="H33" s="229" t="n">
        <f aca="false">SUM(H30:H32)</f>
        <v>11631.5789473684</v>
      </c>
      <c r="I33" s="327"/>
      <c r="J33" s="25"/>
    </row>
    <row r="34" customFormat="false" ht="12.7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customFormat="false" ht="12.75" hidden="false" customHeight="false" outlineLevel="0" collapsed="false">
      <c r="A35" s="281" t="s">
        <v>322</v>
      </c>
      <c r="B35" s="305"/>
      <c r="C35" s="305"/>
      <c r="D35" s="156"/>
      <c r="E35" s="157"/>
      <c r="F35" s="156"/>
      <c r="G35" s="156"/>
      <c r="H35" s="156"/>
      <c r="I35" s="157"/>
      <c r="J35" s="62"/>
    </row>
    <row r="36" customFormat="false" ht="12.75" hidden="false" customHeight="false" outlineLevel="0" collapsed="false">
      <c r="A36" s="162" t="s">
        <v>317</v>
      </c>
      <c r="B36" s="25"/>
      <c r="C36" s="25"/>
      <c r="D36" s="25"/>
      <c r="E36" s="165"/>
      <c r="F36" s="25"/>
      <c r="G36" s="25"/>
      <c r="H36" s="25"/>
      <c r="I36" s="165"/>
      <c r="J36" s="62"/>
    </row>
    <row r="37" customFormat="false" ht="12.75" hidden="false" customHeight="false" outlineLevel="0" collapsed="false">
      <c r="A37" s="162"/>
      <c r="B37" s="25" t="s">
        <v>309</v>
      </c>
      <c r="C37" s="25"/>
      <c r="D37" s="25"/>
      <c r="E37" s="170" t="n">
        <f aca="false">ASS!I23</f>
        <v>13000</v>
      </c>
      <c r="F37" s="64" t="n">
        <f aca="false">IF(ASS!$J$23=0,0,IF(F9&lt;ASS!$J$23,SLN(ASS!$I$23,0,ASS!$J$23)*F11/12,IF(F9=ASS!$J$23,SLN(ASS!$I$23,0,ASS!$J$23)*(12-F11)/12,0)))</f>
        <v>456.140350877193</v>
      </c>
      <c r="G37" s="64" t="n">
        <f aca="false">IF(ASS!$J$23=0,0,IF(G9=ASS!$J$23,$E$37-SUM($F$37:F37),IF(G9&gt;TERM,0,IF(G9&lt;ASS!$J$23,SLN(ASS!$I$23,0,ASS!$J$23)*G11/12,IF(G9=ASS!$J$23,SLN(ASS!$I$23,0,ASS!$J$23)*(12-G11)/12,0)))))</f>
        <v>456.140350877193</v>
      </c>
      <c r="H37" s="64" t="n">
        <f aca="false">IF(ASS!$J$23=0,0,IF(H9=ASS!$J$23,$E$37-SUM($F$37:G37),IF(H9&gt;TERM,0,IF(H9&lt;ASS!$J$23,SLN(ASS!$I$23,0,ASS!$J$23)*H11/12,IF(H9=ASS!$J$23,SLN(ASS!$I$23,0,ASS!$J$23)*(12-H11)/12,0)))))</f>
        <v>456.140350877193</v>
      </c>
      <c r="I37" s="170" t="n">
        <f aca="false">SUM(F37:H37)</f>
        <v>1368.42105263158</v>
      </c>
      <c r="J37" s="62"/>
    </row>
    <row r="38" customFormat="false" ht="12.75" hidden="false" customHeight="false" outlineLevel="0" collapsed="false">
      <c r="A38" s="162"/>
      <c r="B38" s="25" t="s">
        <v>318</v>
      </c>
      <c r="C38" s="62"/>
      <c r="D38" s="25"/>
      <c r="E38" s="170" t="n">
        <f aca="false">SUM(E37)</f>
        <v>13000</v>
      </c>
      <c r="F38" s="64" t="n">
        <f aca="false">SUM(F37)</f>
        <v>456.140350877193</v>
      </c>
      <c r="G38" s="64" t="n">
        <f aca="false">SUM(G37)</f>
        <v>456.140350877193</v>
      </c>
      <c r="H38" s="64" t="n">
        <f aca="false">SUM(H37)</f>
        <v>456.140350877193</v>
      </c>
      <c r="I38" s="170" t="n">
        <f aca="false">SUM(F38:H38)</f>
        <v>1368.42105263158</v>
      </c>
      <c r="J38" s="0"/>
    </row>
    <row r="39" customFormat="false" ht="12.75" hidden="false" customHeight="false" outlineLevel="0" collapsed="false">
      <c r="A39" s="162"/>
      <c r="B39" s="325" t="s">
        <v>319</v>
      </c>
      <c r="C39" s="62"/>
      <c r="D39" s="25"/>
      <c r="E39" s="170"/>
      <c r="F39" s="326" t="n">
        <f aca="false">SUM($F$38:F38)</f>
        <v>456.140350877193</v>
      </c>
      <c r="G39" s="326" t="n">
        <f aca="false">SUM($F$38:G38)</f>
        <v>912.280701754386</v>
      </c>
      <c r="H39" s="326" t="n">
        <f aca="false">SUM($F$38:H38)</f>
        <v>1368.42105263158</v>
      </c>
      <c r="I39" s="170"/>
      <c r="J39" s="0"/>
    </row>
    <row r="40" customFormat="false" ht="12.75" hidden="false" customHeight="false" outlineLevel="0" collapsed="false">
      <c r="A40" s="162"/>
      <c r="B40" s="25"/>
      <c r="C40" s="62"/>
      <c r="D40" s="25"/>
      <c r="E40" s="170"/>
      <c r="F40" s="64"/>
      <c r="G40" s="64"/>
      <c r="H40" s="64"/>
      <c r="I40" s="170"/>
      <c r="J40" s="0"/>
    </row>
    <row r="41" customFormat="false" ht="12.75" hidden="false" customHeight="false" outlineLevel="0" collapsed="false">
      <c r="A41" s="162"/>
      <c r="B41" s="25" t="s">
        <v>320</v>
      </c>
      <c r="C41" s="62"/>
      <c r="D41" s="25"/>
      <c r="E41" s="170"/>
      <c r="F41" s="64" t="n">
        <v>0</v>
      </c>
      <c r="G41" s="64" t="n">
        <f aca="false">F44</f>
        <v>12543.8596491228</v>
      </c>
      <c r="H41" s="64" t="n">
        <f aca="false">G44</f>
        <v>12087.7192982456</v>
      </c>
      <c r="I41" s="170"/>
      <c r="J41" s="0"/>
    </row>
    <row r="42" customFormat="false" ht="12.75" hidden="false" customHeight="false" outlineLevel="0" collapsed="false">
      <c r="A42" s="162"/>
      <c r="B42" s="25" t="s">
        <v>313</v>
      </c>
      <c r="C42" s="25"/>
      <c r="D42" s="25"/>
      <c r="E42" s="170"/>
      <c r="F42" s="64" t="n">
        <f aca="false">E38</f>
        <v>13000</v>
      </c>
      <c r="G42" s="64" t="n">
        <v>0</v>
      </c>
      <c r="H42" s="64" t="n">
        <v>0</v>
      </c>
      <c r="I42" s="170" t="n">
        <f aca="false">SUM(F42:H42)</f>
        <v>13000</v>
      </c>
      <c r="J42" s="0"/>
    </row>
    <row r="43" customFormat="false" ht="12.75" hidden="false" customHeight="false" outlineLevel="0" collapsed="false">
      <c r="A43" s="162"/>
      <c r="B43" s="25" t="s">
        <v>314</v>
      </c>
      <c r="C43" s="25"/>
      <c r="D43" s="25"/>
      <c r="E43" s="170"/>
      <c r="F43" s="177" t="n">
        <f aca="false">-F38</f>
        <v>-456.140350877193</v>
      </c>
      <c r="G43" s="177" t="n">
        <f aca="false">-G38</f>
        <v>-456.140350877193</v>
      </c>
      <c r="H43" s="177" t="n">
        <f aca="false">-H38</f>
        <v>-456.140350877193</v>
      </c>
      <c r="I43" s="170" t="n">
        <f aca="false">SUM(F43:H43)</f>
        <v>-1368.42105263158</v>
      </c>
      <c r="J43" s="0"/>
    </row>
    <row r="44" customFormat="false" ht="12.75" hidden="false" customHeight="false" outlineLevel="0" collapsed="false">
      <c r="A44" s="144"/>
      <c r="B44" s="110" t="s">
        <v>321</v>
      </c>
      <c r="C44" s="110" t="s">
        <v>1</v>
      </c>
      <c r="D44" s="110"/>
      <c r="E44" s="327"/>
      <c r="F44" s="229" t="n">
        <f aca="false">SUM(F41:F43)</f>
        <v>12543.8596491228</v>
      </c>
      <c r="G44" s="229" t="n">
        <f aca="false">SUM(G41:G43)</f>
        <v>12087.7192982456</v>
      </c>
      <c r="H44" s="229" t="n">
        <f aca="false">SUM(H41:H43)</f>
        <v>11631.5789473684</v>
      </c>
      <c r="I44" s="327"/>
      <c r="J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29" activeCellId="0" sqref="G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9" min="6" style="1" width="9.14"/>
    <col collapsed="false" customWidth="true" hidden="false" outlineLevel="0" max="10" min="10" style="1" width="10.13"/>
    <col collapsed="false" customWidth="false" hidden="false" outlineLevel="0" max="257" min="11" style="1" width="9.14"/>
  </cols>
  <sheetData>
    <row r="1" customFormat="false" ht="15.75" hidden="false" customHeight="false" outlineLevel="0" collapsed="false">
      <c r="A1" s="2" t="s">
        <v>323</v>
      </c>
      <c r="B1" s="331"/>
      <c r="C1" s="236"/>
      <c r="D1" s="199"/>
      <c r="E1" s="0"/>
    </row>
    <row r="2" customFormat="false" ht="15.75" hidden="false" customHeight="false" outlineLevel="0" collapsed="false">
      <c r="A2" s="153" t="n">
        <f aca="false">ASS!A4</f>
        <v>0</v>
      </c>
      <c r="B2" s="50"/>
      <c r="C2" s="58"/>
      <c r="D2" s="200"/>
      <c r="E2" s="0"/>
    </row>
    <row r="3" customFormat="false" ht="12.75" hidden="false" customHeight="false" outlineLevel="0" collapsed="false">
      <c r="F3" s="119" t="s">
        <v>324</v>
      </c>
      <c r="G3" s="6" t="n">
        <f aca="false">CF!D3</f>
        <v>1</v>
      </c>
      <c r="H3" s="6" t="n">
        <f aca="false">CF!E3</f>
        <v>2</v>
      </c>
      <c r="I3" s="6" t="n">
        <f aca="false">CF!F3</f>
        <v>3</v>
      </c>
      <c r="J3" s="157"/>
    </row>
    <row r="4" customFormat="false" ht="12.75" hidden="false" customHeight="false" outlineLevel="0" collapsed="false">
      <c r="A4" s="332" t="s">
        <v>325</v>
      </c>
      <c r="F4" s="119" t="s">
        <v>326</v>
      </c>
      <c r="G4" s="6" t="n">
        <f aca="false">CF!D4</f>
        <v>2001</v>
      </c>
      <c r="H4" s="6" t="n">
        <f aca="false">CF!E4</f>
        <v>2002</v>
      </c>
      <c r="I4" s="6" t="n">
        <f aca="false">CF!F4</f>
        <v>2003</v>
      </c>
      <c r="J4" s="202" t="s">
        <v>171</v>
      </c>
    </row>
    <row r="5" customFormat="false" ht="12.75" hidden="false" customHeight="false" outlineLevel="0" collapsed="false">
      <c r="A5" s="155" t="s">
        <v>327</v>
      </c>
      <c r="B5" s="156"/>
      <c r="C5" s="156"/>
      <c r="D5" s="156"/>
      <c r="E5" s="156"/>
      <c r="F5" s="156"/>
      <c r="G5" s="156"/>
      <c r="H5" s="156"/>
      <c r="I5" s="156"/>
      <c r="J5" s="165"/>
    </row>
    <row r="6" customFormat="false" ht="12.75" hidden="false" customHeight="false" outlineLevel="0" collapsed="false">
      <c r="A6" s="162"/>
      <c r="B6" s="25" t="s">
        <v>328</v>
      </c>
      <c r="C6" s="25"/>
      <c r="D6" s="25"/>
      <c r="E6" s="25"/>
      <c r="F6" s="276" t="n">
        <v>0</v>
      </c>
      <c r="G6" s="64" t="n">
        <f aca="false">$F$6+G85</f>
        <v>0</v>
      </c>
      <c r="H6" s="64" t="n">
        <f aca="false">$F$6+H85</f>
        <v>0</v>
      </c>
      <c r="I6" s="64" t="n">
        <f aca="false">$F$6+I85</f>
        <v>0</v>
      </c>
      <c r="J6" s="170" t="n">
        <f aca="false">SUM(F6:I6)</f>
        <v>0</v>
      </c>
    </row>
    <row r="7" customFormat="false" ht="12.75" hidden="false" customHeight="false" outlineLevel="0" collapsed="false">
      <c r="A7" s="162"/>
      <c r="B7" s="25" t="s">
        <v>138</v>
      </c>
      <c r="C7" s="25"/>
      <c r="D7" s="25"/>
      <c r="E7" s="25"/>
      <c r="F7" s="276" t="n">
        <v>0</v>
      </c>
      <c r="G7" s="64" t="n">
        <f aca="false">F7+(-CF!D63-CF!D64)</f>
        <v>0</v>
      </c>
      <c r="H7" s="64" t="n">
        <f aca="false">G7+(-CF!E63-CF!E64)</f>
        <v>0</v>
      </c>
      <c r="I7" s="64" t="n">
        <f aca="false">H7+(-CF!F63-CF!F64)</f>
        <v>0</v>
      </c>
      <c r="J7" s="170"/>
    </row>
    <row r="8" customFormat="false" ht="12.75" hidden="false" customHeight="false" outlineLevel="0" collapsed="false">
      <c r="A8" s="162"/>
      <c r="B8" s="25" t="s">
        <v>329</v>
      </c>
      <c r="C8" s="25"/>
      <c r="D8" s="25"/>
      <c r="E8" s="25"/>
      <c r="F8" s="333" t="n">
        <v>0</v>
      </c>
      <c r="G8" s="224" t="n">
        <v>0</v>
      </c>
      <c r="H8" s="224" t="n">
        <v>0</v>
      </c>
      <c r="I8" s="224" t="n">
        <v>0</v>
      </c>
      <c r="J8" s="170" t="n">
        <f aca="false">SUM(F8:I8)</f>
        <v>0</v>
      </c>
    </row>
    <row r="9" customFormat="false" ht="12.75" hidden="false" customHeight="false" outlineLevel="0" collapsed="false">
      <c r="A9" s="162"/>
      <c r="B9" s="25" t="s">
        <v>330</v>
      </c>
      <c r="C9" s="25"/>
      <c r="D9" s="25"/>
      <c r="E9" s="25"/>
      <c r="F9" s="276" t="n">
        <v>0</v>
      </c>
      <c r="G9" s="64" t="n">
        <f aca="false">IF(G3&lt;TERM,SPARES,0)</f>
        <v>0</v>
      </c>
      <c r="H9" s="64" t="n">
        <f aca="false">IF(H3&lt;TERM,SPARES,0)</f>
        <v>0</v>
      </c>
      <c r="I9" s="64" t="n">
        <f aca="false">IF(I3&lt;TERM,SPARES,0)</f>
        <v>0</v>
      </c>
      <c r="J9" s="170" t="n">
        <f aca="false">SUM(F9:I9)</f>
        <v>0</v>
      </c>
    </row>
    <row r="10" customFormat="false" ht="12.75" hidden="false" customHeight="false" outlineLevel="0" collapsed="false">
      <c r="A10" s="162"/>
      <c r="B10" s="25" t="s">
        <v>331</v>
      </c>
      <c r="C10" s="25"/>
      <c r="D10" s="25"/>
      <c r="E10" s="25"/>
      <c r="F10" s="333" t="n">
        <v>0</v>
      </c>
      <c r="G10" s="224" t="n">
        <v>0</v>
      </c>
      <c r="H10" s="224" t="n">
        <v>0</v>
      </c>
      <c r="I10" s="224" t="n">
        <v>0</v>
      </c>
      <c r="J10" s="170" t="n">
        <f aca="false">SUM(F10:I10)</f>
        <v>0</v>
      </c>
    </row>
    <row r="11" customFormat="false" ht="12.75" hidden="false" customHeight="false" outlineLevel="0" collapsed="false">
      <c r="A11" s="162"/>
      <c r="B11" s="25" t="s">
        <v>332</v>
      </c>
      <c r="C11" s="25"/>
      <c r="D11" s="25"/>
      <c r="E11" s="25"/>
      <c r="F11" s="276"/>
      <c r="G11" s="64"/>
      <c r="H11" s="64"/>
      <c r="I11" s="64"/>
      <c r="J11" s="170" t="s">
        <v>1</v>
      </c>
    </row>
    <row r="12" customFormat="false" ht="12.75" hidden="false" customHeight="false" outlineLevel="0" collapsed="false">
      <c r="A12" s="162"/>
      <c r="B12" s="25"/>
      <c r="C12" s="25" t="s">
        <v>234</v>
      </c>
      <c r="D12" s="25"/>
      <c r="E12" s="25"/>
      <c r="F12" s="276" t="n">
        <v>0</v>
      </c>
      <c r="G12" s="64" t="n">
        <f aca="false">$F$12+DEPR!$F$31</f>
        <v>13000</v>
      </c>
      <c r="H12" s="64" t="n">
        <f aca="false">$F$12+DEPR!$F$31</f>
        <v>13000</v>
      </c>
      <c r="I12" s="64" t="n">
        <f aca="false">$F$12+DEPR!$F$31</f>
        <v>13000</v>
      </c>
      <c r="J12" s="170" t="n">
        <f aca="false">SUM(F12:I12)</f>
        <v>39000</v>
      </c>
    </row>
    <row r="13" customFormat="false" ht="12.75" hidden="false" customHeight="false" outlineLevel="0" collapsed="false">
      <c r="A13" s="162"/>
      <c r="B13" s="25"/>
      <c r="C13" s="25" t="s">
        <v>333</v>
      </c>
      <c r="D13" s="25"/>
      <c r="E13" s="25"/>
      <c r="F13" s="334" t="n">
        <v>0</v>
      </c>
      <c r="G13" s="177" t="n">
        <f aca="false">$F$13+DEPR!F28</f>
        <v>456.140350877193</v>
      </c>
      <c r="H13" s="177" t="n">
        <f aca="false">$F$13+DEPR!G28</f>
        <v>912.280701754386</v>
      </c>
      <c r="I13" s="177" t="n">
        <f aca="false">$F$13+DEPR!H28</f>
        <v>1368.42105263158</v>
      </c>
      <c r="J13" s="170" t="n">
        <f aca="false">SUM(F13:I13)</f>
        <v>2736.84210526316</v>
      </c>
    </row>
    <row r="14" customFormat="false" ht="12.75" hidden="false" customHeight="false" outlineLevel="0" collapsed="false">
      <c r="A14" s="162"/>
      <c r="B14" s="25"/>
      <c r="C14" s="25" t="s">
        <v>334</v>
      </c>
      <c r="D14" s="25"/>
      <c r="E14" s="25"/>
      <c r="F14" s="276" t="n">
        <v>0</v>
      </c>
      <c r="G14" s="64" t="n">
        <f aca="false">$F$14+G12-G13</f>
        <v>12543.8596491228</v>
      </c>
      <c r="H14" s="64" t="n">
        <f aca="false">$F$14+H12-H13</f>
        <v>12087.7192982456</v>
      </c>
      <c r="I14" s="64" t="n">
        <f aca="false">$F$14+I12-I13</f>
        <v>11631.5789473684</v>
      </c>
      <c r="J14" s="170" t="n">
        <f aca="false">SUM(F14:I14)</f>
        <v>36263.1578947368</v>
      </c>
    </row>
    <row r="15" customFormat="false" ht="12.75" hidden="false" customHeight="false" outlineLevel="0" collapsed="false">
      <c r="A15" s="162"/>
      <c r="B15" s="25" t="s">
        <v>335</v>
      </c>
      <c r="C15" s="25"/>
      <c r="D15" s="25"/>
      <c r="E15" s="25"/>
      <c r="F15" s="333" t="n">
        <v>0</v>
      </c>
      <c r="G15" s="224" t="n">
        <v>0</v>
      </c>
      <c r="H15" s="224" t="n">
        <v>0</v>
      </c>
      <c r="I15" s="224" t="n">
        <v>0</v>
      </c>
      <c r="J15" s="170" t="n">
        <f aca="false">SUM(F15:I15)</f>
        <v>0</v>
      </c>
    </row>
    <row r="16" customFormat="false" ht="12.75" hidden="false" customHeight="false" outlineLevel="0" collapsed="false">
      <c r="A16" s="162"/>
      <c r="B16" s="25"/>
      <c r="C16" s="25"/>
      <c r="D16" s="25"/>
      <c r="E16" s="25"/>
      <c r="F16" s="276"/>
      <c r="G16" s="64" t="s">
        <v>1</v>
      </c>
      <c r="H16" s="64"/>
      <c r="I16" s="64"/>
      <c r="J16" s="170" t="n">
        <f aca="false">SUM(F16:I16)</f>
        <v>0</v>
      </c>
    </row>
    <row r="17" customFormat="false" ht="12.75" hidden="false" customHeight="false" outlineLevel="0" collapsed="false">
      <c r="A17" s="162" t="s">
        <v>336</v>
      </c>
      <c r="B17" s="25"/>
      <c r="C17" s="25"/>
      <c r="D17" s="25"/>
      <c r="E17" s="25"/>
      <c r="F17" s="335" t="n">
        <v>0</v>
      </c>
      <c r="G17" s="206" t="n">
        <f aca="false">SUM(G6:G10)+G14+SUM(G15)</f>
        <v>12543.8596491228</v>
      </c>
      <c r="H17" s="206" t="n">
        <f aca="false">SUM(H6:H10)+H14+SUM(H15)</f>
        <v>12087.7192982456</v>
      </c>
      <c r="I17" s="206" t="n">
        <f aca="false">SUM(I6:I10)+I14+SUM(I15)</f>
        <v>11631.5789473684</v>
      </c>
      <c r="J17" s="170" t="n">
        <f aca="false">SUM(F17:I17)</f>
        <v>36263.1578947368</v>
      </c>
    </row>
    <row r="18" customFormat="false" ht="12.75" hidden="false" customHeight="false" outlineLevel="0" collapsed="false">
      <c r="A18" s="162"/>
      <c r="B18" s="25"/>
      <c r="C18" s="25"/>
      <c r="D18" s="25"/>
      <c r="E18" s="25"/>
      <c r="F18" s="276"/>
      <c r="G18" s="64"/>
      <c r="H18" s="64"/>
      <c r="I18" s="64"/>
      <c r="J18" s="170" t="s">
        <v>1</v>
      </c>
    </row>
    <row r="19" customFormat="false" ht="12.75" hidden="false" customHeight="false" outlineLevel="0" collapsed="false">
      <c r="A19" s="162" t="s">
        <v>337</v>
      </c>
      <c r="B19" s="25"/>
      <c r="C19" s="25"/>
      <c r="D19" s="25"/>
      <c r="E19" s="25"/>
      <c r="F19" s="276"/>
      <c r="G19" s="64"/>
      <c r="H19" s="64"/>
      <c r="I19" s="64"/>
      <c r="J19" s="170" t="s">
        <v>1</v>
      </c>
    </row>
    <row r="20" customFormat="false" ht="12.75" hidden="false" customHeight="false" outlineLevel="0" collapsed="false">
      <c r="A20" s="162"/>
      <c r="B20" s="25" t="s">
        <v>338</v>
      </c>
      <c r="C20" s="25"/>
      <c r="D20" s="25"/>
      <c r="E20" s="25"/>
      <c r="F20" s="276" t="n">
        <v>0</v>
      </c>
      <c r="G20" s="64" t="n">
        <v>0</v>
      </c>
      <c r="H20" s="64" t="n">
        <v>0</v>
      </c>
      <c r="I20" s="64" t="n">
        <v>0</v>
      </c>
      <c r="J20" s="170" t="n">
        <f aca="false">SUM(F20:I20)</f>
        <v>0</v>
      </c>
    </row>
    <row r="21" customFormat="false" ht="12.75" hidden="false" customHeight="false" outlineLevel="0" collapsed="false">
      <c r="A21" s="162"/>
      <c r="B21" s="25" t="s">
        <v>339</v>
      </c>
      <c r="C21" s="25"/>
      <c r="D21" s="25"/>
      <c r="E21" s="25"/>
      <c r="F21" s="276" t="n">
        <v>0</v>
      </c>
      <c r="G21" s="64" t="n">
        <v>0</v>
      </c>
      <c r="H21" s="64" t="n">
        <v>0</v>
      </c>
      <c r="I21" s="64" t="n">
        <v>0</v>
      </c>
      <c r="J21" s="170" t="n">
        <f aca="false">SUM(F21:I21)</f>
        <v>0</v>
      </c>
    </row>
    <row r="22" customFormat="false" ht="12.75" hidden="false" customHeight="false" outlineLevel="0" collapsed="false">
      <c r="A22" s="162"/>
      <c r="B22" s="25" t="s">
        <v>340</v>
      </c>
      <c r="C22" s="25"/>
      <c r="D22" s="25"/>
      <c r="E22" s="25"/>
      <c r="F22" s="276" t="n">
        <v>0</v>
      </c>
      <c r="G22" s="64" t="n">
        <v>0</v>
      </c>
      <c r="H22" s="64" t="n">
        <v>0</v>
      </c>
      <c r="I22" s="64" t="n">
        <v>0</v>
      </c>
      <c r="J22" s="170" t="n">
        <f aca="false">SUM(F22:I22)</f>
        <v>0</v>
      </c>
    </row>
    <row r="23" customFormat="false" ht="12.75" hidden="false" customHeight="false" outlineLevel="0" collapsed="false">
      <c r="A23" s="162"/>
      <c r="B23" s="25" t="s">
        <v>341</v>
      </c>
      <c r="C23" s="25"/>
      <c r="D23" s="25"/>
      <c r="E23" s="25"/>
      <c r="F23" s="276" t="n">
        <v>0</v>
      </c>
      <c r="G23" s="64" t="n">
        <f aca="false">G69+G70+$F$23</f>
        <v>0</v>
      </c>
      <c r="H23" s="64" t="n">
        <f aca="false">H69+H70+$F$23+G23</f>
        <v>0</v>
      </c>
      <c r="I23" s="64" t="n">
        <f aca="false">I69+I70+$F$23+H23</f>
        <v>0</v>
      </c>
      <c r="J23" s="170" t="n">
        <f aca="false">SUM(F23:I23)</f>
        <v>0</v>
      </c>
    </row>
    <row r="24" customFormat="false" ht="12.75" hidden="false" customHeight="false" outlineLevel="0" collapsed="false">
      <c r="A24" s="162"/>
      <c r="B24" s="25" t="s">
        <v>342</v>
      </c>
      <c r="C24" s="25"/>
      <c r="D24" s="25"/>
      <c r="E24" s="25"/>
      <c r="F24" s="334" t="n">
        <v>0</v>
      </c>
      <c r="G24" s="177" t="n">
        <v>0</v>
      </c>
      <c r="H24" s="177" t="n">
        <v>0</v>
      </c>
      <c r="I24" s="177" t="n">
        <v>0</v>
      </c>
      <c r="J24" s="170" t="n">
        <f aca="false">SUM(F24:I24)</f>
        <v>0</v>
      </c>
    </row>
    <row r="25" customFormat="false" ht="12.75" hidden="false" customHeight="false" outlineLevel="0" collapsed="false">
      <c r="A25" s="162"/>
      <c r="B25" s="25"/>
      <c r="C25" s="25" t="s">
        <v>343</v>
      </c>
      <c r="D25" s="25"/>
      <c r="E25" s="25"/>
      <c r="F25" s="276" t="n">
        <v>0</v>
      </c>
      <c r="G25" s="64" t="n">
        <f aca="false">SUM(G20:G24)</f>
        <v>0</v>
      </c>
      <c r="H25" s="64" t="n">
        <f aca="false">SUM(H20:H24)</f>
        <v>0</v>
      </c>
      <c r="I25" s="64" t="n">
        <f aca="false">SUM(I20:I24)</f>
        <v>0</v>
      </c>
      <c r="J25" s="170" t="n">
        <f aca="false">SUM(F25:I25)</f>
        <v>0</v>
      </c>
    </row>
    <row r="26" customFormat="false" ht="12.75" hidden="false" customHeight="false" outlineLevel="0" collapsed="false">
      <c r="A26" s="162"/>
      <c r="B26" s="25"/>
      <c r="C26" s="25"/>
      <c r="D26" s="25"/>
      <c r="E26" s="25"/>
      <c r="F26" s="276"/>
      <c r="G26" s="64"/>
      <c r="H26" s="64"/>
      <c r="I26" s="64"/>
      <c r="J26" s="170" t="s">
        <v>1</v>
      </c>
    </row>
    <row r="27" customFormat="false" ht="12.75" hidden="false" customHeight="false" outlineLevel="0" collapsed="false">
      <c r="A27" s="162" t="s">
        <v>344</v>
      </c>
      <c r="B27" s="25"/>
      <c r="C27" s="25"/>
      <c r="D27" s="25"/>
      <c r="E27" s="25"/>
      <c r="F27" s="276"/>
      <c r="G27" s="64"/>
      <c r="H27" s="64"/>
      <c r="I27" s="64"/>
      <c r="J27" s="170" t="s">
        <v>1</v>
      </c>
    </row>
    <row r="28" customFormat="false" ht="12.75" hidden="false" customHeight="false" outlineLevel="0" collapsed="false">
      <c r="A28" s="162"/>
      <c r="B28" s="25" t="s">
        <v>345</v>
      </c>
      <c r="C28" s="25"/>
      <c r="D28" s="25"/>
      <c r="E28" s="25"/>
      <c r="F28" s="276" t="n">
        <v>0</v>
      </c>
      <c r="G28" s="64" t="n">
        <f aca="false">F28+G76</f>
        <v>13000</v>
      </c>
      <c r="H28" s="64" t="n">
        <f aca="false">G28+H76</f>
        <v>13000</v>
      </c>
      <c r="I28" s="64" t="n">
        <f aca="false">H28+I76</f>
        <v>13000</v>
      </c>
      <c r="J28" s="170" t="n">
        <f aca="false">SUM(F28:I28)</f>
        <v>39000</v>
      </c>
    </row>
    <row r="29" customFormat="false" ht="12.75" hidden="false" customHeight="false" outlineLevel="0" collapsed="false">
      <c r="A29" s="162"/>
      <c r="B29" s="25" t="s">
        <v>346</v>
      </c>
      <c r="C29" s="25"/>
      <c r="D29" s="25"/>
      <c r="E29" s="25"/>
      <c r="F29" s="276" t="n">
        <v>0</v>
      </c>
      <c r="G29" s="180" t="n">
        <f aca="false">EQUITY*ASS!V32</f>
        <v>0</v>
      </c>
      <c r="H29" s="180" t="n">
        <f aca="false">EQUITY*ASS!W32</f>
        <v>0</v>
      </c>
      <c r="I29" s="180" t="n">
        <f aca="false">EQUITY*ASS!X32</f>
        <v>0</v>
      </c>
      <c r="J29" s="170" t="n">
        <f aca="false">SUM(F29:I29)</f>
        <v>0</v>
      </c>
    </row>
    <row r="30" customFormat="false" ht="12.75" hidden="false" customHeight="false" outlineLevel="0" collapsed="false">
      <c r="A30" s="162"/>
      <c r="B30" s="25" t="s">
        <v>347</v>
      </c>
      <c r="C30" s="25"/>
      <c r="D30" s="25"/>
      <c r="E30" s="25"/>
      <c r="F30" s="334" t="n">
        <v>0</v>
      </c>
      <c r="G30" s="177" t="n">
        <f aca="false">F30+G52</f>
        <v>3956.93978947368</v>
      </c>
      <c r="H30" s="177" t="n">
        <f aca="false">G30+H52</f>
        <v>7373.29205894737</v>
      </c>
      <c r="I30" s="177" t="n">
        <f aca="false">H30+I52</f>
        <v>10249.0450580211</v>
      </c>
      <c r="J30" s="170" t="n">
        <f aca="false">SUM(F30:I30)</f>
        <v>21579.2769064421</v>
      </c>
    </row>
    <row r="31" customFormat="false" ht="12.75" hidden="false" customHeight="false" outlineLevel="0" collapsed="false">
      <c r="A31" s="162"/>
      <c r="B31" s="25" t="s">
        <v>348</v>
      </c>
      <c r="C31" s="25"/>
      <c r="D31" s="25"/>
      <c r="E31" s="25"/>
      <c r="F31" s="276" t="n">
        <v>0</v>
      </c>
      <c r="G31" s="64" t="n">
        <f aca="false">SUM(G28:G30)</f>
        <v>16956.9397894737</v>
      </c>
      <c r="H31" s="64" t="n">
        <f aca="false">SUM(H28:H30)</f>
        <v>20373.2920589474</v>
      </c>
      <c r="I31" s="64" t="n">
        <f aca="false">SUM(I28:I30)</f>
        <v>23249.0450580211</v>
      </c>
      <c r="J31" s="170" t="n">
        <f aca="false">SUM(F31:I31)</f>
        <v>60579.2769064421</v>
      </c>
    </row>
    <row r="32" customFormat="false" ht="12.75" hidden="false" customHeight="false" outlineLevel="0" collapsed="false">
      <c r="A32" s="162"/>
      <c r="B32" s="25"/>
      <c r="C32" s="25"/>
      <c r="D32" s="25"/>
      <c r="E32" s="25"/>
      <c r="F32" s="276"/>
      <c r="G32" s="64"/>
      <c r="H32" s="64"/>
      <c r="I32" s="64"/>
      <c r="J32" s="170" t="s">
        <v>1</v>
      </c>
    </row>
    <row r="33" customFormat="false" ht="12.75" hidden="false" customHeight="false" outlineLevel="0" collapsed="false">
      <c r="A33" s="162" t="s">
        <v>349</v>
      </c>
      <c r="B33" s="25"/>
      <c r="C33" s="25"/>
      <c r="D33" s="25"/>
      <c r="E33" s="25"/>
      <c r="F33" s="335" t="n">
        <v>0</v>
      </c>
      <c r="G33" s="206" t="n">
        <f aca="false">G31+G25</f>
        <v>16956.9397894737</v>
      </c>
      <c r="H33" s="206" t="n">
        <f aca="false">H31+H25</f>
        <v>20373.2920589474</v>
      </c>
      <c r="I33" s="206" t="n">
        <f aca="false">I31+I25</f>
        <v>23249.0450580211</v>
      </c>
      <c r="J33" s="170" t="n">
        <f aca="false">SUM(F33:I33)</f>
        <v>60579.2769064421</v>
      </c>
    </row>
    <row r="34" customFormat="false" ht="12.75" hidden="false" customHeight="false" outlineLevel="0" collapsed="false">
      <c r="A34" s="162"/>
      <c r="B34" s="25"/>
      <c r="C34" s="25"/>
      <c r="D34" s="25"/>
      <c r="E34" s="25"/>
      <c r="F34" s="276"/>
      <c r="G34" s="64"/>
      <c r="H34" s="64"/>
      <c r="I34" s="64"/>
      <c r="J34" s="170" t="s">
        <v>1</v>
      </c>
    </row>
    <row r="35" customFormat="false" ht="12.75" hidden="false" customHeight="false" outlineLevel="0" collapsed="false">
      <c r="A35" s="193" t="s">
        <v>350</v>
      </c>
      <c r="B35" s="147"/>
      <c r="C35" s="147"/>
      <c r="D35" s="147"/>
      <c r="E35" s="147"/>
      <c r="F35" s="336" t="n">
        <v>0</v>
      </c>
      <c r="G35" s="337" t="n">
        <f aca="false">G17-G33</f>
        <v>-4413.08014035088</v>
      </c>
      <c r="H35" s="337" t="n">
        <f aca="false">H17-H33</f>
        <v>-8285.57276070175</v>
      </c>
      <c r="I35" s="337" t="n">
        <f aca="false">I17-I33</f>
        <v>-11617.4661106526</v>
      </c>
      <c r="J35" s="338" t="n">
        <f aca="false">SUM(F35:I35)</f>
        <v>-24316.1190117053</v>
      </c>
    </row>
    <row r="38" customFormat="false" ht="15.75" hidden="false" customHeight="false" outlineLevel="0" collapsed="false">
      <c r="A38" s="339" t="s">
        <v>351</v>
      </c>
      <c r="B38" s="190"/>
      <c r="C38" s="340"/>
    </row>
    <row r="39" customFormat="false" ht="12.75" hidden="false" customHeight="false" outlineLevel="0" collapsed="false">
      <c r="G39" s="6" t="n">
        <f aca="false">G3</f>
        <v>1</v>
      </c>
      <c r="H39" s="6" t="n">
        <f aca="false">H3</f>
        <v>2</v>
      </c>
      <c r="I39" s="6" t="n">
        <f aca="false">I3</f>
        <v>3</v>
      </c>
      <c r="J39" s="157"/>
    </row>
    <row r="40" customFormat="false" ht="12.75" hidden="false" customHeight="false" outlineLevel="0" collapsed="false">
      <c r="A40" s="6" t="s">
        <v>352</v>
      </c>
      <c r="G40" s="6" t="n">
        <f aca="false">G4</f>
        <v>2001</v>
      </c>
      <c r="H40" s="6" t="n">
        <f aca="false">H4</f>
        <v>2002</v>
      </c>
      <c r="I40" s="6" t="n">
        <f aca="false">I4</f>
        <v>2003</v>
      </c>
      <c r="J40" s="341" t="s">
        <v>171</v>
      </c>
    </row>
    <row r="41" customFormat="false" ht="12.75" hidden="false" customHeight="false" outlineLevel="0" collapsed="false">
      <c r="A41" s="155" t="s">
        <v>353</v>
      </c>
      <c r="B41" s="156"/>
      <c r="C41" s="156"/>
      <c r="D41" s="156"/>
      <c r="E41" s="156"/>
      <c r="F41" s="342"/>
      <c r="G41" s="342" t="n">
        <f aca="false">CF!D18</f>
        <v>7100</v>
      </c>
      <c r="H41" s="342" t="n">
        <f aca="false">CF!E18</f>
        <v>6200</v>
      </c>
      <c r="I41" s="342" t="n">
        <f aca="false">CF!F18</f>
        <v>5300</v>
      </c>
      <c r="J41" s="343" t="n">
        <f aca="false">SUM(G41:I41)</f>
        <v>18600</v>
      </c>
    </row>
    <row r="42" customFormat="false" ht="12.75" hidden="false" customHeight="false" outlineLevel="0" collapsed="false">
      <c r="A42" s="162"/>
      <c r="B42" s="25"/>
      <c r="C42" s="25"/>
      <c r="D42" s="25"/>
      <c r="E42" s="25"/>
      <c r="F42" s="25"/>
      <c r="G42" s="64"/>
      <c r="H42" s="64"/>
      <c r="I42" s="64"/>
      <c r="J42" s="170" t="s">
        <v>1</v>
      </c>
    </row>
    <row r="43" customFormat="false" ht="12.75" hidden="false" customHeight="false" outlineLevel="0" collapsed="false">
      <c r="A43" s="162" t="s">
        <v>354</v>
      </c>
      <c r="B43" s="25"/>
      <c r="C43" s="25"/>
      <c r="D43" s="25"/>
      <c r="E43" s="25"/>
      <c r="F43" s="25"/>
      <c r="G43" s="64" t="n">
        <f aca="false">CF!D37</f>
        <v>48.96</v>
      </c>
      <c r="H43" s="64" t="n">
        <f aca="false">CF!E37</f>
        <v>49.9392</v>
      </c>
      <c r="I43" s="64" t="n">
        <f aca="false">CF!F37</f>
        <v>50.937984</v>
      </c>
      <c r="J43" s="170" t="n">
        <f aca="false">SUM(G43:I43)</f>
        <v>149.837184</v>
      </c>
    </row>
    <row r="44" customFormat="false" ht="12.75" hidden="false" customHeight="false" outlineLevel="0" collapsed="false">
      <c r="A44" s="162" t="s">
        <v>96</v>
      </c>
      <c r="B44" s="25"/>
      <c r="C44" s="25"/>
      <c r="D44" s="25"/>
      <c r="E44" s="25"/>
      <c r="F44" s="25"/>
      <c r="G44" s="64" t="n">
        <f aca="false">CF!D43</f>
        <v>0</v>
      </c>
      <c r="H44" s="64" t="n">
        <f aca="false">CF!E43</f>
        <v>0</v>
      </c>
      <c r="I44" s="64" t="n">
        <f aca="false">CF!F43</f>
        <v>0</v>
      </c>
      <c r="J44" s="170" t="n">
        <f aca="false">SUM(G44:I44)</f>
        <v>0</v>
      </c>
    </row>
    <row r="45" customFormat="false" ht="12.75" hidden="false" customHeight="false" outlineLevel="0" collapsed="false">
      <c r="A45" s="162" t="s">
        <v>355</v>
      </c>
      <c r="B45" s="25"/>
      <c r="C45" s="25"/>
      <c r="D45" s="25"/>
      <c r="E45" s="25"/>
      <c r="F45" s="25"/>
      <c r="G45" s="64" t="n">
        <f aca="false">DEPR!F27</f>
        <v>456.140350877193</v>
      </c>
      <c r="H45" s="64" t="n">
        <f aca="false">DEPR!G27</f>
        <v>456.140350877193</v>
      </c>
      <c r="I45" s="64" t="n">
        <f aca="false">DEPR!H27</f>
        <v>456.140350877193</v>
      </c>
      <c r="J45" s="170" t="n">
        <f aca="false">SUM(G45:I45)</f>
        <v>1368.42105263158</v>
      </c>
    </row>
    <row r="46" customFormat="false" ht="12.75" hidden="false" customHeight="false" outlineLevel="0" collapsed="false">
      <c r="A46" s="162" t="s">
        <v>356</v>
      </c>
      <c r="B46" s="25"/>
      <c r="C46" s="25"/>
      <c r="D46" s="25"/>
      <c r="E46" s="25"/>
      <c r="F46" s="25"/>
      <c r="G46" s="177" t="n">
        <f aca="false">ASS!V31*DEBT</f>
        <v>0</v>
      </c>
      <c r="H46" s="177" t="n">
        <f aca="false">ASS!W31*DEBT</f>
        <v>0</v>
      </c>
      <c r="I46" s="177" t="n">
        <f aca="false">ASS!X31*DEBT</f>
        <v>0</v>
      </c>
      <c r="J46" s="178" t="n">
        <f aca="false">SUM(G46:I46)</f>
        <v>0</v>
      </c>
    </row>
    <row r="47" customFormat="false" ht="12.75" hidden="false" customHeight="false" outlineLevel="0" collapsed="false">
      <c r="A47" s="162" t="s">
        <v>357</v>
      </c>
      <c r="B47" s="25"/>
      <c r="C47" s="25"/>
      <c r="D47" s="25"/>
      <c r="E47" s="25"/>
      <c r="F47" s="25"/>
      <c r="G47" s="64" t="n">
        <f aca="false">SUM(G43:G46)</f>
        <v>505.100350877193</v>
      </c>
      <c r="H47" s="64" t="n">
        <f aca="false">SUM(H43:H46)</f>
        <v>506.079550877193</v>
      </c>
      <c r="I47" s="64" t="n">
        <f aca="false">SUM(I43:I46)</f>
        <v>507.078334877193</v>
      </c>
      <c r="J47" s="170" t="n">
        <f aca="false">SUM(G43:J46)</f>
        <v>3036.51647326316</v>
      </c>
    </row>
    <row r="48" customFormat="false" ht="12.75" hidden="false" customHeight="false" outlineLevel="0" collapsed="false">
      <c r="A48" s="162"/>
      <c r="B48" s="25"/>
      <c r="C48" s="25"/>
      <c r="D48" s="25"/>
      <c r="E48" s="25"/>
      <c r="F48" s="25"/>
      <c r="G48" s="64"/>
      <c r="H48" s="64"/>
      <c r="I48" s="64"/>
      <c r="J48" s="170" t="s">
        <v>1</v>
      </c>
    </row>
    <row r="49" customFormat="false" ht="12.75" hidden="false" customHeight="false" outlineLevel="0" collapsed="false">
      <c r="A49" s="162" t="s">
        <v>358</v>
      </c>
      <c r="B49" s="25"/>
      <c r="C49" s="25"/>
      <c r="D49" s="25"/>
      <c r="E49" s="25" t="s">
        <v>1</v>
      </c>
      <c r="F49" s="25"/>
      <c r="G49" s="64" t="n">
        <f aca="false">G41-G47</f>
        <v>6594.89964912281</v>
      </c>
      <c r="H49" s="64" t="n">
        <f aca="false">H41-H47</f>
        <v>5693.92044912281</v>
      </c>
      <c r="I49" s="64" t="n">
        <f aca="false">I41-I47</f>
        <v>4792.92166512281</v>
      </c>
      <c r="J49" s="170" t="n">
        <f aca="false">SUM(G49:I49)</f>
        <v>17081.7417633684</v>
      </c>
    </row>
    <row r="50" customFormat="false" ht="12.75" hidden="false" customHeight="false" outlineLevel="0" collapsed="false">
      <c r="A50" s="162" t="s">
        <v>359</v>
      </c>
      <c r="B50" s="25"/>
      <c r="C50" s="25"/>
      <c r="D50" s="25"/>
      <c r="E50" s="25" t="s">
        <v>1</v>
      </c>
      <c r="F50" s="25"/>
      <c r="G50" s="64" t="n">
        <f aca="false">IF(G49&lt;0,0,G49*(ASS!$I$14+ASS!$I$15))</f>
        <v>2637.95985964912</v>
      </c>
      <c r="H50" s="64" t="n">
        <f aca="false">IF(H49&lt;0,0,H49*(ASS!$I$14+ASS!$I$15))</f>
        <v>2277.56817964912</v>
      </c>
      <c r="I50" s="64" t="n">
        <f aca="false">IF(I49&lt;0,0,I49*(ASS!$I$14+ASS!$I$15))</f>
        <v>1917.16866604912</v>
      </c>
      <c r="J50" s="170" t="n">
        <f aca="false">SUM(G50:I50)</f>
        <v>6832.69670534737</v>
      </c>
    </row>
    <row r="51" customFormat="false" ht="12.75" hidden="false" customHeight="false" outlineLevel="0" collapsed="false">
      <c r="A51" s="162"/>
      <c r="B51" s="25"/>
      <c r="C51" s="25"/>
      <c r="D51" s="25"/>
      <c r="E51" s="25" t="s">
        <v>1</v>
      </c>
      <c r="F51" s="25"/>
      <c r="G51" s="64"/>
      <c r="H51" s="64"/>
      <c r="I51" s="64"/>
      <c r="J51" s="170" t="n">
        <f aca="false">SUM(G51:I51)</f>
        <v>0</v>
      </c>
    </row>
    <row r="52" customFormat="false" ht="12.75" hidden="false" customHeight="false" outlineLevel="0" collapsed="false">
      <c r="A52" s="162" t="s">
        <v>360</v>
      </c>
      <c r="B52" s="25"/>
      <c r="C52" s="25"/>
      <c r="D52" s="25"/>
      <c r="E52" s="25" t="s">
        <v>1</v>
      </c>
      <c r="F52" s="25"/>
      <c r="G52" s="206" t="n">
        <f aca="false">G49-G50</f>
        <v>3956.93978947368</v>
      </c>
      <c r="H52" s="206" t="n">
        <f aca="false">H49-H50</f>
        <v>3416.35226947368</v>
      </c>
      <c r="I52" s="206" t="n">
        <f aca="false">I49-I50</f>
        <v>2875.75299907368</v>
      </c>
      <c r="J52" s="207" t="n">
        <f aca="false">J49-J50</f>
        <v>10249.0450580211</v>
      </c>
    </row>
    <row r="53" customFormat="false" ht="12.75" hidden="false" customHeight="false" outlineLevel="0" collapsed="false">
      <c r="A53" s="144"/>
      <c r="B53" s="110"/>
      <c r="C53" s="110"/>
      <c r="D53" s="110"/>
      <c r="E53" s="110"/>
      <c r="F53" s="110"/>
      <c r="G53" s="229"/>
      <c r="H53" s="229"/>
      <c r="I53" s="229"/>
      <c r="J53" s="327"/>
    </row>
    <row r="56" customFormat="false" ht="15.75" hidden="false" customHeight="false" outlineLevel="0" collapsed="false">
      <c r="A56" s="339" t="s">
        <v>361</v>
      </c>
      <c r="B56" s="190"/>
      <c r="C56" s="190"/>
      <c r="D56" s="340"/>
    </row>
    <row r="57" customFormat="false" ht="12.75" hidden="false" customHeight="false" outlineLevel="0" collapsed="false">
      <c r="G57" s="6" t="n">
        <f aca="false">G3</f>
        <v>1</v>
      </c>
      <c r="H57" s="6" t="n">
        <f aca="false">H3</f>
        <v>2</v>
      </c>
      <c r="I57" s="6" t="n">
        <f aca="false">I3</f>
        <v>3</v>
      </c>
      <c r="J57" s="157"/>
    </row>
    <row r="58" customFormat="false" ht="12.75" hidden="false" customHeight="false" outlineLevel="0" collapsed="false">
      <c r="A58" s="6" t="s">
        <v>352</v>
      </c>
      <c r="G58" s="6" t="n">
        <f aca="false">G4</f>
        <v>2001</v>
      </c>
      <c r="H58" s="6" t="n">
        <f aca="false">H4</f>
        <v>2002</v>
      </c>
      <c r="I58" s="6" t="n">
        <f aca="false">I4</f>
        <v>2003</v>
      </c>
      <c r="J58" s="341" t="s">
        <v>171</v>
      </c>
    </row>
    <row r="59" customFormat="false" ht="12.75" hidden="false" customHeight="false" outlineLevel="0" collapsed="false">
      <c r="A59" s="155" t="s">
        <v>362</v>
      </c>
      <c r="B59" s="156"/>
      <c r="C59" s="156"/>
      <c r="D59" s="156"/>
      <c r="E59" s="156"/>
      <c r="F59" s="156"/>
      <c r="G59" s="156"/>
      <c r="H59" s="156"/>
      <c r="I59" s="156"/>
      <c r="J59" s="157"/>
    </row>
    <row r="60" customFormat="false" ht="12.75" hidden="false" customHeight="false" outlineLevel="0" collapsed="false">
      <c r="A60" s="162"/>
      <c r="B60" s="25" t="s">
        <v>363</v>
      </c>
      <c r="C60" s="25"/>
      <c r="D60" s="25"/>
      <c r="E60" s="25"/>
      <c r="F60" s="64"/>
      <c r="G60" s="64" t="n">
        <f aca="false">CF!D18</f>
        <v>7100</v>
      </c>
      <c r="H60" s="64" t="n">
        <f aca="false">CF!E18</f>
        <v>6200</v>
      </c>
      <c r="I60" s="64" t="n">
        <f aca="false">CF!F18</f>
        <v>5300</v>
      </c>
      <c r="J60" s="170" t="n">
        <f aca="false">SUM(G60:I60)</f>
        <v>18600</v>
      </c>
    </row>
    <row r="61" customFormat="false" ht="12.75" hidden="false" customHeight="false" outlineLevel="0" collapsed="false">
      <c r="A61" s="162"/>
      <c r="B61" s="25" t="s">
        <v>364</v>
      </c>
      <c r="C61" s="25"/>
      <c r="D61" s="25"/>
      <c r="E61" s="25"/>
      <c r="F61" s="25"/>
      <c r="G61" s="64" t="n">
        <f aca="false">-CF!D47</f>
        <v>-48.96</v>
      </c>
      <c r="H61" s="64" t="n">
        <f aca="false">-CF!E47</f>
        <v>-49.9392</v>
      </c>
      <c r="I61" s="64" t="n">
        <f aca="false">-CF!F47</f>
        <v>-50.937984</v>
      </c>
      <c r="J61" s="170" t="n">
        <f aca="false">SUM(G61:I61)</f>
        <v>-149.837184</v>
      </c>
    </row>
    <row r="62" customFormat="false" ht="12.75" hidden="false" customHeight="false" outlineLevel="0" collapsed="false">
      <c r="A62" s="162"/>
      <c r="B62" s="25" t="s">
        <v>142</v>
      </c>
      <c r="C62" s="25"/>
      <c r="D62" s="25"/>
      <c r="E62" s="25"/>
      <c r="F62" s="25"/>
      <c r="G62" s="64" t="n">
        <f aca="false">CF!D60</f>
        <v>0</v>
      </c>
      <c r="H62" s="64" t="n">
        <f aca="false">CF!E60</f>
        <v>0</v>
      </c>
      <c r="I62" s="64" t="n">
        <f aca="false">CF!F60</f>
        <v>0</v>
      </c>
      <c r="J62" s="170" t="n">
        <f aca="false">SUM(G62:I62)</f>
        <v>0</v>
      </c>
    </row>
    <row r="63" customFormat="false" ht="12.75" hidden="false" customHeight="false" outlineLevel="0" collapsed="false">
      <c r="A63" s="162"/>
      <c r="B63" s="25" t="s">
        <v>365</v>
      </c>
      <c r="C63" s="25"/>
      <c r="D63" s="25"/>
      <c r="E63" s="25"/>
      <c r="F63" s="25"/>
      <c r="G63" s="64" t="n">
        <f aca="false">CF!D63+CF!D64</f>
        <v>0</v>
      </c>
      <c r="H63" s="64" t="n">
        <f aca="false">CF!E63+CF!E64</f>
        <v>0</v>
      </c>
      <c r="I63" s="64" t="n">
        <f aca="false">CF!F63+CF!F64</f>
        <v>0</v>
      </c>
      <c r="J63" s="170"/>
    </row>
    <row r="64" customFormat="false" ht="12.75" hidden="false" customHeight="false" outlineLevel="0" collapsed="false">
      <c r="A64" s="162"/>
      <c r="B64" s="25" t="s">
        <v>366</v>
      </c>
      <c r="C64" s="25"/>
      <c r="D64" s="25"/>
      <c r="E64" s="25"/>
      <c r="F64" s="25"/>
      <c r="G64" s="64" t="n">
        <f aca="false">ASS!V31*DEBT</f>
        <v>0</v>
      </c>
      <c r="H64" s="64" t="n">
        <f aca="false">ASS!W31*DEBT</f>
        <v>0</v>
      </c>
      <c r="I64" s="64" t="n">
        <f aca="false">ASS!X31*DEBT</f>
        <v>0</v>
      </c>
      <c r="J64" s="170" t="n">
        <f aca="false">SUM(G64:I64)</f>
        <v>0</v>
      </c>
    </row>
    <row r="65" customFormat="false" ht="12.75" hidden="false" customHeight="false" outlineLevel="0" collapsed="false">
      <c r="A65" s="162"/>
      <c r="B65" s="25" t="s">
        <v>367</v>
      </c>
      <c r="C65" s="25"/>
      <c r="D65" s="25"/>
      <c r="E65" s="25"/>
      <c r="F65" s="25"/>
      <c r="G65" s="177" t="n">
        <f aca="false">CF!D65</f>
        <v>2625.416</v>
      </c>
      <c r="H65" s="177" t="n">
        <f aca="false">CF!E65</f>
        <v>2084.63632</v>
      </c>
      <c r="I65" s="177" t="n">
        <f aca="false">CF!F65</f>
        <v>1752.9408064</v>
      </c>
      <c r="J65" s="344" t="n">
        <f aca="false">SUM(G65:I65)</f>
        <v>6462.9931264</v>
      </c>
    </row>
    <row r="66" customFormat="false" ht="12.75" hidden="false" customHeight="false" outlineLevel="0" collapsed="false">
      <c r="A66" s="162"/>
      <c r="B66" s="25"/>
      <c r="C66" s="25" t="s">
        <v>368</v>
      </c>
      <c r="D66" s="25"/>
      <c r="E66" s="25"/>
      <c r="F66" s="25"/>
      <c r="G66" s="64" t="n">
        <f aca="false">SUM(G60:G65)</f>
        <v>9676.456</v>
      </c>
      <c r="H66" s="64" t="n">
        <f aca="false">SUM(H60:H65)</f>
        <v>8234.69712</v>
      </c>
      <c r="I66" s="64" t="n">
        <f aca="false">SUM(I60:I65)</f>
        <v>7002.0028224</v>
      </c>
      <c r="J66" s="170" t="n">
        <f aca="false">SUM(G66:I66)</f>
        <v>24913.1559424</v>
      </c>
    </row>
    <row r="67" customFormat="false" ht="12.75" hidden="false" customHeight="false" outlineLevel="0" collapsed="false">
      <c r="A67" s="162"/>
      <c r="B67" s="25"/>
      <c r="C67" s="25"/>
      <c r="D67" s="25"/>
      <c r="E67" s="25"/>
      <c r="F67" s="25"/>
      <c r="G67" s="64"/>
      <c r="H67" s="64"/>
      <c r="I67" s="64"/>
      <c r="J67" s="170"/>
    </row>
    <row r="68" customFormat="false" ht="12.75" hidden="false" customHeight="false" outlineLevel="0" collapsed="false">
      <c r="A68" s="162" t="s">
        <v>369</v>
      </c>
      <c r="B68" s="25"/>
      <c r="C68" s="25"/>
      <c r="D68" s="25"/>
      <c r="E68" s="25"/>
      <c r="F68" s="25"/>
      <c r="G68" s="64"/>
      <c r="H68" s="64"/>
      <c r="I68" s="64"/>
      <c r="J68" s="170"/>
    </row>
    <row r="69" customFormat="false" ht="12.75" hidden="false" customHeight="false" outlineLevel="0" collapsed="false">
      <c r="A69" s="162"/>
      <c r="B69" s="25" t="s">
        <v>370</v>
      </c>
      <c r="C69" s="25"/>
      <c r="D69" s="25"/>
      <c r="E69" s="25"/>
      <c r="F69" s="25"/>
      <c r="G69" s="64" t="n">
        <f aca="false">ASS!V31*DEBT</f>
        <v>0</v>
      </c>
      <c r="H69" s="64" t="n">
        <f aca="false">ASS!W31*DEBT</f>
        <v>0</v>
      </c>
      <c r="I69" s="64" t="n">
        <f aca="false">ASS!X31*DEBT</f>
        <v>0</v>
      </c>
      <c r="J69" s="170" t="n">
        <f aca="false">SUM(G69:I69)</f>
        <v>0</v>
      </c>
    </row>
    <row r="70" customFormat="false" ht="12.75" hidden="false" customHeight="false" outlineLevel="0" collapsed="false">
      <c r="A70" s="162"/>
      <c r="B70" s="25" t="s">
        <v>371</v>
      </c>
      <c r="C70" s="25"/>
      <c r="D70" s="25"/>
      <c r="E70" s="25"/>
      <c r="F70" s="25"/>
      <c r="G70" s="64" t="n">
        <f aca="false">COST*DEBTPERC</f>
        <v>0</v>
      </c>
      <c r="H70" s="64" t="n">
        <v>0</v>
      </c>
      <c r="I70" s="64" t="n">
        <v>0</v>
      </c>
      <c r="J70" s="170" t="n">
        <f aca="false">SUM(G70:I70)</f>
        <v>0</v>
      </c>
    </row>
    <row r="71" customFormat="false" ht="12.75" hidden="false" customHeight="false" outlineLevel="0" collapsed="false">
      <c r="A71" s="162"/>
      <c r="B71" s="25" t="s">
        <v>372</v>
      </c>
      <c r="C71" s="25"/>
      <c r="D71" s="25"/>
      <c r="E71" s="25"/>
      <c r="F71" s="25"/>
      <c r="G71" s="64" t="n">
        <v>0</v>
      </c>
      <c r="H71" s="64" t="n">
        <v>0</v>
      </c>
      <c r="I71" s="64" t="n">
        <v>0</v>
      </c>
      <c r="J71" s="170" t="n">
        <f aca="false">SUM(G71:I71)</f>
        <v>0</v>
      </c>
    </row>
    <row r="72" customFormat="false" ht="12.75" hidden="false" customHeight="false" outlineLevel="0" collapsed="false">
      <c r="A72" s="162"/>
      <c r="B72" s="25" t="s">
        <v>373</v>
      </c>
      <c r="C72" s="25"/>
      <c r="D72" s="25"/>
      <c r="E72" s="25"/>
      <c r="F72" s="25"/>
      <c r="G72" s="64" t="n">
        <v>0</v>
      </c>
      <c r="H72" s="64" t="n">
        <v>0</v>
      </c>
      <c r="I72" s="64" t="n">
        <v>0</v>
      </c>
      <c r="J72" s="170" t="n">
        <f aca="false">SUM(G72:I72)</f>
        <v>0</v>
      </c>
    </row>
    <row r="73" customFormat="false" ht="12.75" hidden="false" customHeight="false" outlineLevel="0" collapsed="false">
      <c r="A73" s="162"/>
      <c r="B73" s="25" t="s">
        <v>374</v>
      </c>
      <c r="C73" s="25"/>
      <c r="D73" s="25"/>
      <c r="E73" s="25"/>
      <c r="F73" s="25"/>
      <c r="G73" s="64" t="n">
        <v>0</v>
      </c>
      <c r="H73" s="64" t="n">
        <v>0</v>
      </c>
      <c r="I73" s="64" t="n">
        <v>0</v>
      </c>
      <c r="J73" s="170" t="n">
        <f aca="false">SUM(G73:I73)</f>
        <v>0</v>
      </c>
    </row>
    <row r="74" customFormat="false" ht="12.75" hidden="false" customHeight="false" outlineLevel="0" collapsed="false">
      <c r="A74" s="162"/>
      <c r="B74" s="25" t="s">
        <v>375</v>
      </c>
      <c r="C74" s="25"/>
      <c r="D74" s="25"/>
      <c r="E74" s="25"/>
      <c r="F74" s="25"/>
      <c r="G74" s="64" t="n">
        <v>0</v>
      </c>
      <c r="H74" s="64" t="n">
        <v>0</v>
      </c>
      <c r="I74" s="64" t="n">
        <v>0</v>
      </c>
      <c r="J74" s="170" t="n">
        <f aca="false">SUM(G74:I74)</f>
        <v>0</v>
      </c>
    </row>
    <row r="75" customFormat="false" ht="12.75" hidden="false" customHeight="false" outlineLevel="0" collapsed="false">
      <c r="A75" s="162"/>
      <c r="B75" s="25" t="s">
        <v>376</v>
      </c>
      <c r="C75" s="25"/>
      <c r="D75" s="25"/>
      <c r="E75" s="25"/>
      <c r="F75" s="25"/>
      <c r="G75" s="64" t="n">
        <v>0</v>
      </c>
      <c r="H75" s="64" t="n">
        <v>0</v>
      </c>
      <c r="I75" s="64" t="n">
        <v>0</v>
      </c>
      <c r="J75" s="170" t="n">
        <f aca="false">SUM(G75:I75)</f>
        <v>0</v>
      </c>
    </row>
    <row r="76" customFormat="false" ht="12.75" hidden="false" customHeight="false" outlineLevel="0" collapsed="false">
      <c r="A76" s="162"/>
      <c r="B76" s="25" t="s">
        <v>377</v>
      </c>
      <c r="C76" s="25"/>
      <c r="D76" s="25"/>
      <c r="E76" s="25"/>
      <c r="F76" s="25"/>
      <c r="G76" s="64" t="n">
        <f aca="false">COST*equityperc</f>
        <v>13000</v>
      </c>
      <c r="H76" s="64" t="n">
        <v>0</v>
      </c>
      <c r="I76" s="64" t="n">
        <v>0</v>
      </c>
      <c r="J76" s="170" t="n">
        <f aca="false">SUM(G76:I76)</f>
        <v>13000</v>
      </c>
    </row>
    <row r="77" customFormat="false" ht="12.75" hidden="false" customHeight="false" outlineLevel="0" collapsed="false">
      <c r="A77" s="162"/>
      <c r="B77" s="25" t="s">
        <v>331</v>
      </c>
      <c r="C77" s="25"/>
      <c r="D77" s="25"/>
      <c r="E77" s="25"/>
      <c r="F77" s="64"/>
      <c r="G77" s="64" t="n">
        <f aca="false">-(G70+G76-WCAP)</f>
        <v>-13000</v>
      </c>
      <c r="H77" s="64" t="n">
        <v>0</v>
      </c>
      <c r="I77" s="64" t="n">
        <v>0</v>
      </c>
      <c r="J77" s="170" t="n">
        <f aca="false">SUM(G77:I77)</f>
        <v>-13000</v>
      </c>
    </row>
    <row r="78" customFormat="false" ht="12.75" hidden="false" customHeight="false" outlineLevel="0" collapsed="false">
      <c r="A78" s="162"/>
      <c r="B78" s="25" t="s">
        <v>378</v>
      </c>
      <c r="C78" s="25"/>
      <c r="D78" s="25"/>
      <c r="E78" s="25"/>
      <c r="F78" s="25"/>
      <c r="G78" s="64" t="n">
        <f aca="false">-CF!D67</f>
        <v>-9676.456</v>
      </c>
      <c r="H78" s="64" t="n">
        <f aca="false">-CF!E67</f>
        <v>-8234.69712</v>
      </c>
      <c r="I78" s="64" t="n">
        <f aca="false">-CF!F67</f>
        <v>-7002.0028224</v>
      </c>
      <c r="J78" s="170" t="n">
        <f aca="false">SUM(G78:I78)</f>
        <v>-24913.1559424</v>
      </c>
    </row>
    <row r="79" customFormat="false" ht="12.75" hidden="false" customHeight="false" outlineLevel="0" collapsed="false">
      <c r="A79" s="162"/>
      <c r="B79" s="25"/>
      <c r="C79" s="25" t="s">
        <v>379</v>
      </c>
      <c r="D79" s="25"/>
      <c r="E79" s="25"/>
      <c r="F79" s="25"/>
      <c r="G79" s="177" t="n">
        <f aca="false">SUM(G69:G78)</f>
        <v>-9676.456</v>
      </c>
      <c r="H79" s="177" t="n">
        <f aca="false">SUM(H69:H78)</f>
        <v>-8234.69712</v>
      </c>
      <c r="I79" s="177" t="n">
        <f aca="false">SUM(I69:I78)</f>
        <v>-7002.0028224</v>
      </c>
      <c r="J79" s="344" t="n">
        <f aca="false">SUM(G79:I79)</f>
        <v>-24913.1559424</v>
      </c>
    </row>
    <row r="80" customFormat="false" ht="12.75" hidden="false" customHeight="false" outlineLevel="0" collapsed="false">
      <c r="A80" s="162"/>
      <c r="B80" s="25"/>
      <c r="C80" s="25"/>
      <c r="D80" s="25"/>
      <c r="E80" s="25"/>
      <c r="F80" s="25"/>
      <c r="G80" s="64"/>
      <c r="H80" s="64"/>
      <c r="I80" s="64"/>
      <c r="J80" s="170" t="s">
        <v>1</v>
      </c>
    </row>
    <row r="81" customFormat="false" ht="12.75" hidden="false" customHeight="false" outlineLevel="0" collapsed="false">
      <c r="A81" s="162" t="s">
        <v>380</v>
      </c>
      <c r="B81" s="25"/>
      <c r="C81" s="25"/>
      <c r="D81" s="25"/>
      <c r="E81" s="25"/>
      <c r="F81" s="25"/>
      <c r="G81" s="64" t="n">
        <f aca="false">G66+G79</f>
        <v>0</v>
      </c>
      <c r="H81" s="64" t="n">
        <f aca="false">H66+H79</f>
        <v>0</v>
      </c>
      <c r="I81" s="64" t="n">
        <f aca="false">I66+I79</f>
        <v>0</v>
      </c>
      <c r="J81" s="170" t="n">
        <f aca="false">SUM(G81:I81)</f>
        <v>0</v>
      </c>
    </row>
    <row r="82" customFormat="false" ht="12.75" hidden="false" customHeight="false" outlineLevel="0" collapsed="false">
      <c r="A82" s="162"/>
      <c r="B82" s="25"/>
      <c r="C82" s="25"/>
      <c r="D82" s="25"/>
      <c r="E82" s="25"/>
      <c r="F82" s="25"/>
      <c r="G82" s="64"/>
      <c r="H82" s="64"/>
      <c r="I82" s="64"/>
      <c r="J82" s="170" t="s">
        <v>1</v>
      </c>
    </row>
    <row r="83" customFormat="false" ht="12.75" hidden="false" customHeight="false" outlineLevel="0" collapsed="false">
      <c r="A83" s="162" t="s">
        <v>381</v>
      </c>
      <c r="B83" s="25"/>
      <c r="C83" s="25"/>
      <c r="D83" s="25"/>
      <c r="E83" s="25"/>
      <c r="F83" s="25"/>
      <c r="G83" s="64" t="n">
        <v>0</v>
      </c>
      <c r="H83" s="64" t="n">
        <f aca="false">G85</f>
        <v>0</v>
      </c>
      <c r="I83" s="64" t="n">
        <f aca="false">H85</f>
        <v>0</v>
      </c>
      <c r="J83" s="170" t="n">
        <f aca="false">SUM(G83:I83)</f>
        <v>0</v>
      </c>
    </row>
    <row r="84" customFormat="false" ht="12.75" hidden="false" customHeight="false" outlineLevel="0" collapsed="false">
      <c r="A84" s="162"/>
      <c r="B84" s="25"/>
      <c r="C84" s="25"/>
      <c r="D84" s="25"/>
      <c r="E84" s="25"/>
      <c r="F84" s="25"/>
      <c r="G84" s="64"/>
      <c r="H84" s="64"/>
      <c r="I84" s="64"/>
      <c r="J84" s="170" t="s">
        <v>1</v>
      </c>
    </row>
    <row r="85" customFormat="false" ht="12.75" hidden="false" customHeight="false" outlineLevel="0" collapsed="false">
      <c r="A85" s="144" t="s">
        <v>382</v>
      </c>
      <c r="B85" s="110"/>
      <c r="C85" s="110"/>
      <c r="D85" s="110"/>
      <c r="E85" s="110"/>
      <c r="F85" s="110"/>
      <c r="G85" s="229" t="n">
        <f aca="false">G81+G83</f>
        <v>0</v>
      </c>
      <c r="H85" s="229" t="n">
        <f aca="false">H81+H83</f>
        <v>0</v>
      </c>
      <c r="I85" s="229" t="n">
        <f aca="false">I81+I83</f>
        <v>0</v>
      </c>
      <c r="J85" s="327" t="n">
        <f aca="false">SUM(G85:I85)</f>
        <v>0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2000-09-06T13:32:05Z</cp:lastPrinted>
  <cp:revision>0</cp:revision>
  <dc:subject/>
  <dc:title/>
</cp:coreProperties>
</file>