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xl/comments8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" sheetId="1" state="visible" r:id="rId3"/>
    <sheet name="CF" sheetId="2" state="visible" r:id="rId4"/>
    <sheet name="RETURNS" sheetId="3" state="visible" r:id="rId5"/>
    <sheet name="DRAWDOWN" sheetId="4" state="visible" r:id="rId6"/>
    <sheet name="IDC" sheetId="5" state="hidden" r:id="rId7"/>
    <sheet name="FIN" sheetId="6" state="visible" r:id="rId8"/>
    <sheet name="TAXES_FEES" sheetId="7" state="visible" r:id="rId9"/>
    <sheet name="DEPR" sheetId="8" state="visible" r:id="rId10"/>
    <sheet name="BS_IS" sheetId="9" state="visible" r:id="rId11"/>
    <sheet name="Module2" sheetId="10" state="hidden" r:id="rId12"/>
    <sheet name="Module4" sheetId="11" state="hidden" r:id="rId13"/>
    <sheet name="Module8" sheetId="12" state="hidden" r:id="rId14"/>
  </sheets>
  <externalReferences>
    <externalReference r:id="rId15"/>
  </externalReferences>
  <definedNames>
    <definedName function="false" hidden="false" localSheetId="0" name="_xlnm.Print_Area" vbProcedure="false">ASS!$A$3:$X$88</definedName>
    <definedName function="false" hidden="false" localSheetId="8" name="_xlnm.Print_Area" vbProcedure="false">BS_IS!$A$1:$AG$87</definedName>
    <definedName function="false" hidden="false" localSheetId="1" name="_xlnm.Print_Area" vbProcedure="false">CF!$A$1:$G$72</definedName>
    <definedName function="false" hidden="false" localSheetId="7" name="_xlnm.Print_Area" vbProcedure="false">DEPR!$A$1:$AF$46</definedName>
    <definedName function="false" hidden="false" localSheetId="3" name="_xlnm.Print_Area" vbProcedure="false">DRAWDOWN!$A$1:$H$72</definedName>
    <definedName function="false" hidden="false" localSheetId="5" name="_xlnm.Print_Area" vbProcedure="false">FIN!$A$1:$AD$63</definedName>
    <definedName function="false" hidden="false" localSheetId="4" name="_xlnm.Print_Area" vbProcedure="false">IDC!$A$1:$L$36</definedName>
    <definedName function="false" hidden="false" localSheetId="2" name="_xlnm.Print_Area" vbProcedure="false">RETURNS!$A$1:$K$66</definedName>
    <definedName function="false" hidden="false" localSheetId="6" name="_xlnm.Print_Area" vbProcedure="false">TAXES_FEES!$A$1:$AD$83</definedName>
    <definedName function="false" hidden="false" name="ASS" vbProcedure="false">ASS!$A$3:$X$88</definedName>
    <definedName function="false" hidden="false" name="avail" vbProcedure="false">ASS!$D$9</definedName>
    <definedName function="false" hidden="false" name="BLANK" vbProcedure="false">ASS!$A$6</definedName>
    <definedName function="false" hidden="false" name="BS" vbProcedure="false">BS_IS!$A$1:$AG$87</definedName>
    <definedName function="false" hidden="false" name="capacity" vbProcedure="false">ASS!$D$8</definedName>
    <definedName function="false" hidden="false" name="CCINPUT" vbProcedure="false">ASS!$R$49</definedName>
    <definedName function="false" hidden="false" name="CCIRR1" vbProcedure="false">'[1]'!$M$10</definedName>
    <definedName function="false" hidden="false" name="CCIRR2" vbProcedure="false">'[1]'!$M$11</definedName>
    <definedName function="false" hidden="false" name="CCIRR3" vbProcedure="false">'[1]'!$M$12</definedName>
    <definedName function="false" hidden="false" name="CCNPV1" vbProcedure="false">'[1]'!$O$10</definedName>
    <definedName function="false" hidden="false" name="CCNPV2" vbProcedure="false">'[1]'!$O$11</definedName>
    <definedName function="false" hidden="false" name="CCNPV3" vbProcedure="false">'[1]'!$O$12</definedName>
    <definedName function="false" hidden="false" name="CCTAR1" vbProcedure="false">'[1]'!$K$10</definedName>
    <definedName function="false" hidden="false" name="CCTAR2" vbProcedure="false">'[1]'!$K$11</definedName>
    <definedName function="false" hidden="false" name="CCTAR3" vbProcedure="false">'[1]'!$K$12</definedName>
    <definedName function="false" hidden="false" name="CCTEMP" vbProcedure="false">ASS!$Q$48</definedName>
    <definedName function="false" hidden="false" name="CCVAR" vbProcedure="false">ASS!$Q$49</definedName>
    <definedName function="false" hidden="false" name="CCVAR1" vbProcedure="false">ASS!$P$49</definedName>
    <definedName function="false" hidden="false" name="CF" vbProcedure="false">CF!$A$1:$G$72</definedName>
    <definedName function="false" hidden="false" name="ch" vbProcedure="false">#REF!</definedName>
    <definedName function="false" hidden="false" name="COST" vbProcedure="false">ASS!$R$52</definedName>
    <definedName function="false" hidden="false" name="CPI" vbProcedure="false">ASS!$E$39</definedName>
    <definedName function="false" hidden="false" name="CT_COMFEE" vbProcedure="false">TAXES_FEES!$A$1:$AD$83</definedName>
    <definedName function="false" hidden="false" name="DEBT" vbProcedure="false">ASS!$X$81</definedName>
    <definedName function="false" hidden="false" name="DEBTPERC" vbProcedure="false">ASS!$V$81</definedName>
    <definedName function="false" hidden="false" name="DEPR" vbProcedure="false">DEPR!$A$1:$AF$46</definedName>
    <definedName function="false" hidden="false" name="DISC" vbProcedure="false">ASS!$V$9</definedName>
    <definedName function="false" hidden="false" name="dispatch" vbProcedure="false">ASS!$D$11</definedName>
    <definedName function="false" hidden="false" name="DRAWDOWN" vbProcedure="false">DRAWDOWN!$A$1:$H$72</definedName>
    <definedName function="false" hidden="false" name="DRAW_TABLE" vbProcedure="false">DRAWDOWN!$A$10:$G$71</definedName>
    <definedName function="false" hidden="false" name="DUTIES" vbProcedure="false">#REF!</definedName>
    <definedName function="false" hidden="false" name="EINC" vbProcedure="false">'[1]'!$A$1:$AG$74</definedName>
    <definedName function="false" hidden="false" name="EITF_91_6" vbProcedure="false">'[1]'!$A$1:$AG$26</definedName>
    <definedName function="false" hidden="false" name="EQUITY" vbProcedure="false">ASS!$X$82</definedName>
    <definedName function="false" hidden="false" name="equityperc" vbProcedure="false">ASS!$V$82</definedName>
    <definedName function="false" hidden="false" name="EST_COMMITT" vbProcedure="false">ASS!$AE$11</definedName>
    <definedName function="false" hidden="false" name="EST_COST" vbProcedure="false">ASS!$AE$13</definedName>
    <definedName function="false" hidden="false" name="EST_COST1" vbProcedure="false">ASS!$P$48</definedName>
    <definedName function="false" hidden="false" name="EST_D1" vbProcedure="false">ASS!$AE$14</definedName>
    <definedName function="false" hidden="false" name="EST_D3" vbProcedure="false">ASS!$AE$16</definedName>
    <definedName function="false" hidden="false" name="EST_D4" vbProcedure="false">ASS!$AE$17</definedName>
    <definedName function="false" hidden="false" name="EST_D5" vbProcedure="false">ASS!$AE$18</definedName>
    <definedName function="false" hidden="false" name="EST_D6" vbProcedure="false">ASS!$AE$19</definedName>
    <definedName function="false" hidden="false" name="EST_DEBTPERC" vbProcedure="false">#REF!</definedName>
    <definedName function="false" hidden="false" name="EST_DEV" vbProcedure="false">ASS!$AE$12</definedName>
    <definedName function="false" hidden="false" name="EST_EXIM" vbProcedure="false">ASS!$AE$15</definedName>
    <definedName function="false" hidden="false" name="EST_FIN" vbProcedure="false">ASS!$AF$10</definedName>
    <definedName function="false" hidden="false" name="EST_IDC" vbProcedure="false">ASS!$AE$8</definedName>
    <definedName function="false" hidden="false" name="EST_IRR" vbProcedure="false">#REF!</definedName>
    <definedName function="false" hidden="false" name="FIN" vbProcedure="false">FIN!$A$1:$AD$63</definedName>
    <definedName function="false" hidden="false" name="FIN_TABLE" vbProcedure="false">FIN!$B$23:$AB$62</definedName>
    <definedName function="false" hidden="false" name="HR" vbProcedure="false">ASS!$D$10</definedName>
    <definedName function="false" hidden="false" name="IDC" vbProcedure="false">IDC!$A$1:$L$36</definedName>
    <definedName function="false" hidden="false" name="IDC_TABLE" vbProcedure="false">IDC!$E$7:$J$33</definedName>
    <definedName function="false" hidden="false" name="idc_table1" vbProcedure="false">IDC!$E$6:$K$33</definedName>
    <definedName function="false" hidden="false" name="INPUTS" vbProcedure="false">ASS!$AF$8:$AF$19</definedName>
    <definedName function="false" hidden="false" name="INT1" vbProcedure="false">ASS!$V$35</definedName>
    <definedName function="false" hidden="false" name="INT2" vbProcedure="false">ASS!$V$43</definedName>
    <definedName function="false" hidden="false" name="INT3" vbProcedure="false">ASS!$V$51</definedName>
    <definedName function="false" hidden="false" name="INT4" vbProcedure="false">ASS!$V$59</definedName>
    <definedName function="false" hidden="false" name="INT5" vbProcedure="false">ASS!$V$67</definedName>
    <definedName function="false" hidden="false" name="INT6" vbProcedure="false">ASS!$V$75</definedName>
    <definedName function="false" hidden="false" name="IR1A" vbProcedure="false">ASS!$V$36</definedName>
    <definedName function="false" hidden="false" name="IR1B" vbProcedure="false">ASS!$U$36</definedName>
    <definedName function="false" hidden="false" name="IR1TEMP" vbProcedure="false">ASS!$W$33</definedName>
    <definedName function="false" hidden="false" name="IR2A" vbProcedure="false">ASS!$V$44</definedName>
    <definedName function="false" hidden="false" name="IR2B" vbProcedure="false">ASS!$U$44</definedName>
    <definedName function="false" hidden="false" name="IR2TEMP" vbProcedure="false">ASS!$W$41</definedName>
    <definedName function="false" hidden="false" name="IR3A" vbProcedure="false">ASS!$V$52</definedName>
    <definedName function="false" hidden="false" name="IR3B" vbProcedure="false">ASS!$U$52</definedName>
    <definedName function="false" hidden="false" name="IR3TEMP" vbProcedure="false">ASS!$W$49</definedName>
    <definedName function="false" hidden="false" name="IR4A" vbProcedure="false">ASS!$V$60</definedName>
    <definedName function="false" hidden="false" name="IR4B" vbProcedure="false">ASS!$U$60</definedName>
    <definedName function="false" hidden="false" name="IR4TEMP" vbProcedure="false">ASS!$W$57</definedName>
    <definedName function="false" hidden="false" name="IR5A" vbProcedure="false">ASS!$V$68</definedName>
    <definedName function="false" hidden="false" name="IR5B" vbProcedure="false">ASS!$U$68</definedName>
    <definedName function="false" hidden="false" name="IR5TEMP" vbProcedure="false">ASS!$W$65</definedName>
    <definedName function="false" hidden="false" name="IR6A" vbProcedure="false">ASS!$V$76</definedName>
    <definedName function="false" hidden="false" name="IR6B" vbProcedure="false">ASS!$U$76</definedName>
    <definedName function="false" hidden="false" name="IR6TEMP" vbProcedure="false">ASS!$W$73</definedName>
    <definedName function="false" hidden="false" name="IRIRR1" vbProcedure="false">'[1]'!$E$10</definedName>
    <definedName function="false" hidden="false" name="IRIRR2" vbProcedure="false">'[1]'!$E$11</definedName>
    <definedName function="false" hidden="false" name="IRIRR3" vbProcedure="false">'[1]'!$E$12</definedName>
    <definedName function="false" hidden="false" name="IRNPV1" vbProcedure="false">'[1]'!$G$10</definedName>
    <definedName function="false" hidden="false" name="IRNPV2" vbProcedure="false">'[1]'!$G$11</definedName>
    <definedName function="false" hidden="false" name="IRNPV3" vbProcedure="false">'[1]'!$G$12</definedName>
    <definedName function="false" hidden="false" name="IRR" vbProcedure="false">ASS!$W$9</definedName>
    <definedName function="false" hidden="false" name="IRRFACTOR" vbProcedure="false">ASS!$Z$10</definedName>
    <definedName function="false" hidden="false" name="IRTAR1" vbProcedure="false">'[1]'!$C$10</definedName>
    <definedName function="false" hidden="false" name="IRTAR2" vbProcedure="false">'[1]'!$C$11</definedName>
    <definedName function="false" hidden="false" name="IRTAR3" vbProcedure="false">'[1]'!$C$12</definedName>
    <definedName function="false" hidden="false" name="Line_Cost" vbProcedure="false">ASS!$R$18</definedName>
    <definedName function="false" hidden="false" name="loopfactor" vbProcedure="false">ASS!$AI$23</definedName>
    <definedName function="false" hidden="false" name="Loss" vbProcedure="false">ASS!$D$12</definedName>
    <definedName function="false" hidden="false" name="MOSYR1" vbProcedure="false">ASS!$D$17</definedName>
    <definedName function="false" hidden="false" name="NEG" vbProcedure="false">ASS!$D$20</definedName>
    <definedName function="false" hidden="false" name="NPV" vbProcedure="false">ASS!$X$9</definedName>
    <definedName function="false" hidden="false" name="OMIRR1" vbProcedure="false">'[1]'!$E$19</definedName>
    <definedName function="false" hidden="false" name="OMIRR2" vbProcedure="false">'[1]'!$E$20</definedName>
    <definedName function="false" hidden="false" name="OMIRR3" vbProcedure="false">'[1]'!$E$21</definedName>
    <definedName function="false" hidden="false" name="OMNPV1" vbProcedure="false">'[1]'!$G$19</definedName>
    <definedName function="false" hidden="false" name="OMNPV2" vbProcedure="false">'[1]'!$G$20</definedName>
    <definedName function="false" hidden="false" name="OMNPV3" vbProcedure="false">'[1]'!$G$21</definedName>
    <definedName function="false" hidden="false" name="OMTAR1" vbProcedure="false">'[1]'!$C$19</definedName>
    <definedName function="false" hidden="false" name="OMTAR2" vbProcedure="false">'[1]'!$C$20</definedName>
    <definedName function="false" hidden="false" name="OMTAR3" vbProcedure="false">'[1]'!$C$21</definedName>
    <definedName function="false" hidden="false" name="OPIC" vbProcedure="false">#REF!</definedName>
    <definedName function="false" hidden="false" name="POS" vbProcedure="false">ASS!$C$20</definedName>
    <definedName function="false" hidden="false" name="REF1" vbProcedure="false">#REF!</definedName>
    <definedName function="false" hidden="false" name="REF2" vbProcedure="false">#REF!</definedName>
    <definedName function="false" hidden="false" name="REF3" vbProcedure="false">#REF!</definedName>
    <definedName function="false" hidden="false" name="REF4" vbProcedure="false">#REF!</definedName>
    <definedName function="false" hidden="false" name="RETURNS" vbProcedure="false">RETURNS!$A$1:$K$66</definedName>
    <definedName function="false" hidden="false" name="RET_TABLE" vbProcedure="false">RETURNS!$D$5:$J$53</definedName>
    <definedName function="false" hidden="false" name="sens" vbProcedure="false">#REF!</definedName>
    <definedName function="false" hidden="false" name="SENS_TABLE" vbProcedure="false">'[1]'!$A$1:$O$21</definedName>
    <definedName function="false" hidden="false" name="SPARES" vbProcedure="false">ASS!$R$46</definedName>
    <definedName function="false" hidden="false" name="STARTCONST" vbProcedure="false">ASS!$D$15</definedName>
    <definedName function="false" hidden="false" name="STARTYR" vbProcedure="false">ASS!$E$17</definedName>
    <definedName function="false" hidden="false" name="TARGET" vbProcedure="false">ASS!$W$10</definedName>
    <definedName function="false" hidden="false" name="TARIFF" vbProcedure="false">ASS!$C$26</definedName>
    <definedName function="false" hidden="false" name="TAX" vbProcedure="false">ASS!$I$9</definedName>
    <definedName function="false" hidden="false" name="TEMP" vbProcedure="false">ASS!$E$20</definedName>
    <definedName function="false" hidden="false" name="TERM" vbProcedure="false">ASS!$E$18</definedName>
    <definedName function="false" hidden="false" name="TERM_C" vbProcedure="false">ASS!$E$16</definedName>
    <definedName function="false" hidden="false" name="toc" vbProcedure="false">#REF!</definedName>
    <definedName function="false" hidden="false" name="USTAX" vbProcedure="false">ASS!$I$15</definedName>
    <definedName function="false" hidden="false" name="VALUES" vbProcedure="false">ASS!$AE$8:$AE$19</definedName>
    <definedName function="false" hidden="false" name="VAT" vbProcedure="false">#REF!</definedName>
    <definedName function="false" hidden="false" name="WCAP" vbProcedure="false">ASS!$R$45</definedName>
    <definedName function="false" hidden="false" name="WHTAX" vbProcedure="false">#REF!</definedName>
    <definedName function="false" hidden="false" localSheetId="0" name="solver_adj" vbProcedure="false">ASS!$C$26</definedName>
    <definedName function="false" hidden="false" localSheetId="0" name="solver_cvg" vbProcedure="false">0.001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ASS!$V$24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1</definedName>
    <definedName function="false" hidden="false" localSheetId="0" name="solver_nwt" vbProcedure="false">1</definedName>
    <definedName function="false" hidden="false" localSheetId="0" name="solver_opt" vbProcedure="false">ASS!$W$9</definedName>
    <definedName function="false" hidden="false" localSheetId="0" name="solver_pre" vbProcedure="false">0.000001</definedName>
    <definedName function="false" hidden="false" localSheetId="0" name="solver_rel1" vbProcedure="false">3</definedName>
    <definedName function="false" hidden="false" localSheetId="0" name="solver_rhs1" vbProcedure="false">1.4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2</definedName>
    <definedName function="false" hidden="false" localSheetId="0" name="solver_val" vbProcedure="false">0.15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3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confirm data with Ron Tapscott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34</xdr:row>
                <xdr:rowOff>9</xdr:rowOff>
              </xdr:from>
              <xdr:to>
                <xdr:col>2</xdr:col>
                <xdr:colOff>-12</xdr:colOff>
                <xdr:row>38</xdr:row>
                <xdr:rowOff>15</xdr:rowOff>
              </xdr:to>
            </anchor>
          </commentPr>
        </mc:Choice>
        <mc:Fallback/>
      </mc:AlternateContent>
    </comment>
    <comment ref="C2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fixed capacity payment needs to be confirmed.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24</xdr:row>
                <xdr:rowOff>9</xdr:rowOff>
              </xdr:from>
              <xdr:to>
                <xdr:col>5</xdr:col>
                <xdr:colOff>8</xdr:colOff>
                <xdr:row>28</xdr:row>
                <xdr:rowOff>14</xdr:rowOff>
              </xdr:to>
            </anchor>
          </commentPr>
        </mc:Choice>
        <mc:Fallback/>
      </mc:AlternateContent>
    </comment>
    <comment ref="C50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Not used curretly-Rate is hard coded on CF page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38</xdr:colOff>
                <xdr:row>46</xdr:row>
                <xdr:rowOff>10</xdr:rowOff>
              </xdr:from>
              <xdr:to>
                <xdr:col>7</xdr:col>
                <xdr:colOff>78</xdr:colOff>
                <xdr:row>51</xdr:row>
                <xdr:rowOff>13</xdr:rowOff>
              </xdr:to>
            </anchor>
          </commentPr>
        </mc:Choice>
        <mc:Fallback/>
      </mc:AlternateContent>
    </comment>
    <comment ref="E1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This needs to be verified by the development group.  No official legal contract exists.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16</xdr:row>
                <xdr:rowOff>7</xdr:rowOff>
              </xdr:from>
              <xdr:to>
                <xdr:col>7</xdr:col>
                <xdr:colOff>36</xdr:colOff>
                <xdr:row>20</xdr:row>
                <xdr:rowOff>13</xdr:rowOff>
              </xdr:to>
            </anchor>
          </commentPr>
        </mc:Choice>
        <mc:Fallback/>
      </mc:AlternateContent>
    </comment>
    <comment ref="H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breakers, 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17</xdr:row>
                <xdr:rowOff>7</xdr:rowOff>
              </xdr:from>
              <xdr:to>
                <xdr:col>9</xdr:col>
                <xdr:colOff>72</xdr:colOff>
                <xdr:row>21</xdr:row>
                <xdr:rowOff>12</xdr:rowOff>
              </xdr:to>
            </anchor>
          </commentPr>
        </mc:Choice>
        <mc:Fallback/>
      </mc:AlternateContent>
    </comment>
    <comment ref="H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19</xdr:row>
                <xdr:rowOff>7</xdr:rowOff>
              </xdr:from>
              <xdr:to>
                <xdr:col>9</xdr:col>
                <xdr:colOff>72</xdr:colOff>
                <xdr:row>23</xdr:row>
                <xdr:rowOff>10</xdr:rowOff>
              </xdr:to>
            </anchor>
          </commentPr>
        </mc:Choice>
        <mc:Fallback/>
      </mc:AlternateContent>
    </comment>
    <comment ref="H23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transformers and lines.  Consistent depreciation rates apply to all (see Patrick Maloy's email 8-31-00)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21</xdr:row>
                <xdr:rowOff>8</xdr:rowOff>
              </xdr:from>
              <xdr:to>
                <xdr:col>9</xdr:col>
                <xdr:colOff>72</xdr:colOff>
                <xdr:row>25</xdr:row>
                <xdr:rowOff>11</xdr:rowOff>
              </xdr:to>
            </anchor>
          </commentPr>
        </mc:Choice>
        <mc:Fallback/>
      </mc:AlternateContent>
    </comment>
    <comment ref="J19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see Patrick Malloy's voice mail 8-31-00.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17</xdr:row>
                <xdr:rowOff>7</xdr:rowOff>
              </xdr:from>
              <xdr:to>
                <xdr:col>12</xdr:col>
                <xdr:colOff>52</xdr:colOff>
                <xdr:row>21</xdr:row>
                <xdr:rowOff>12</xdr:rowOff>
              </xdr:to>
            </anchor>
          </commentPr>
        </mc:Choice>
        <mc:Fallback/>
      </mc:AlternateContent>
    </comment>
    <comment ref="J21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Patrick Malloy states that the depreciable life for book and GAAP purposes will exceed MACRS (8-31-00).  Jody Pierce states  that convention is to depreciate the assets over the remaining life of the plant with a 10% salvage value.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19</xdr:row>
                <xdr:rowOff>7</xdr:rowOff>
              </xdr:from>
              <xdr:to>
                <xdr:col>12</xdr:col>
                <xdr:colOff>52</xdr:colOff>
                <xdr:row>23</xdr:row>
                <xdr:rowOff>10</xdr:rowOff>
              </xdr:to>
            </anchor>
          </commentPr>
        </mc:Choice>
        <mc:Fallback/>
      </mc:AlternateContent>
    </comment>
    <comment ref="J23" authorId="0">
      <text>
        <r>
          <rPr>
            <sz val="8"/>
            <color rgb="FF000000"/>
            <rFont val="Tahoma"/>
            <family val="0"/>
          </rPr>
          <t xml:space="preserve">cwatts:
Patrick Malloy states that the depreciable life for book and GAAP purposes will exceed MACRS (8-31-00).  Jody Pierce states  that convention is to depreciate the assets over the remaining life of the plant with a 10% salvage value.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16</xdr:colOff>
                <xdr:row>21</xdr:row>
                <xdr:rowOff>8</xdr:rowOff>
              </xdr:from>
              <xdr:to>
                <xdr:col>12</xdr:col>
                <xdr:colOff>52</xdr:colOff>
                <xdr:row>25</xdr:row>
                <xdr:rowOff>11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Includes land options, circuit breaker options, tower, and circuit  breakers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14</xdr:row>
                <xdr:rowOff>7</xdr:rowOff>
              </xdr:from>
              <xdr:to>
                <xdr:col>19</xdr:col>
                <xdr:colOff>131</xdr:colOff>
                <xdr:row>18</xdr:row>
                <xdr:rowOff>13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71" authorId="0">
      <text>
        <r>
          <rPr>
            <b val="true"/>
            <sz val="8"/>
            <color rgb="FF000000"/>
            <rFont val="Tahoma"/>
            <family val="0"/>
          </rPr>
          <t xml:space="preserve">Todd Neugebauer:
</t>
        </r>
        <r>
          <rPr>
            <sz val="8"/>
            <color rgb="FF000000"/>
            <rFont val="Tahoma"/>
            <family val="0"/>
          </rPr>
          <t xml:space="preserve">Both Coverage ratios add back maintenance expense because there is a reserve for it.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67</xdr:colOff>
                <xdr:row>66</xdr:row>
                <xdr:rowOff>5</xdr:rowOff>
              </xdr:from>
              <xdr:to>
                <xdr:col>2</xdr:col>
                <xdr:colOff>101</xdr:colOff>
                <xdr:row>70</xdr:row>
                <xdr:rowOff>15</xdr:rowOff>
              </xdr:to>
            </anchor>
          </commentPr>
        </mc:Choice>
        <mc:Fallback/>
      </mc:AlternateContent>
    </comment>
  </commentList>
</comments>
</file>

<file path=xl/comments8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cwatts:
</t>
        </r>
        <r>
          <rPr>
            <sz val="8"/>
            <color rgb="FF000000"/>
            <rFont val="Tahoma"/>
            <family val="0"/>
          </rPr>
          <t xml:space="preserve">Depreciation schedule as per Patrick Malloy's email 8-31-00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6</xdr:row>
                <xdr:rowOff>7</xdr:rowOff>
              </xdr:from>
              <xdr:to>
                <xdr:col>8</xdr:col>
                <xdr:colOff>16</xdr:colOff>
                <xdr:row>10</xdr:row>
                <xdr:rowOff>10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<sst xmlns="http://schemas.openxmlformats.org/spreadsheetml/2006/main" count="667" uniqueCount="428">
  <si>
    <t xml:space="preserve">ASSUMPTIONS</t>
  </si>
  <si>
    <t xml:space="preserve"> </t>
  </si>
  <si>
    <t xml:space="preserve">BASE MODEL</t>
  </si>
  <si>
    <t xml:space="preserve">                                                                                       </t>
  </si>
  <si>
    <t xml:space="preserve">Power Line Data</t>
  </si>
  <si>
    <t xml:space="preserve">Taxes</t>
  </si>
  <si>
    <t xml:space="preserve">Amount</t>
  </si>
  <si>
    <t xml:space="preserve">Project and Enron Economics ($000)</t>
  </si>
  <si>
    <t xml:space="preserve">Disc Rate</t>
  </si>
  <si>
    <t xml:space="preserve">IRR</t>
  </si>
  <si>
    <t xml:space="preserve">NPV</t>
  </si>
  <si>
    <t xml:space="preserve">Converge of Numbers</t>
  </si>
  <si>
    <t xml:space="preserve">Values</t>
  </si>
  <si>
    <t xml:space="preserve">Inputs</t>
  </si>
  <si>
    <t xml:space="preserve">Difference</t>
  </si>
  <si>
    <t xml:space="preserve">Capacity</t>
  </si>
  <si>
    <t xml:space="preserve">MW</t>
  </si>
  <si>
    <t xml:space="preserve">Project Company Tax Position</t>
  </si>
  <si>
    <t xml:space="preserve">ASSUME EXEMPT</t>
  </si>
  <si>
    <t xml:space="preserve">Project Costs ($000)</t>
  </si>
  <si>
    <t xml:space="preserve">   IDC </t>
  </si>
  <si>
    <t xml:space="preserve">Availability</t>
  </si>
  <si>
    <t xml:space="preserve">AL Corporate Net Income Tax </t>
  </si>
  <si>
    <t xml:space="preserve">  Major Mechanical &amp; Elec. Equip.</t>
  </si>
  <si>
    <t xml:space="preserve">PROJECT</t>
  </si>
  <si>
    <t xml:space="preserve">IRR LOOPFACTOR</t>
  </si>
  <si>
    <t xml:space="preserve">   Withholding Tax on IDC</t>
  </si>
  <si>
    <t xml:space="preserve">Heat Rate</t>
  </si>
  <si>
    <t xml:space="preserve">HHV</t>
  </si>
  <si>
    <t xml:space="preserve">Btu/kWh</t>
  </si>
  <si>
    <t xml:space="preserve">Gross Receipts Tax</t>
  </si>
  <si>
    <t xml:space="preserve">  Electrical Equip.</t>
  </si>
  <si>
    <t xml:space="preserve">Target IRR</t>
  </si>
  <si>
    <t xml:space="preserve">   Financing Costs</t>
  </si>
  <si>
    <t xml:space="preserve">Dispatch </t>
  </si>
  <si>
    <t xml:space="preserve">  Import Duties </t>
  </si>
  <si>
    <t xml:space="preserve">   Commitment Fee</t>
  </si>
  <si>
    <t xml:space="preserve">Line Loss (Cross-Sound Cable Only)</t>
  </si>
  <si>
    <t xml:space="preserve">US Taxes</t>
  </si>
  <si>
    <t xml:space="preserve">   TOTAL POWER PLANT EQUIPMENT, DUTIES &amp; VAT</t>
  </si>
  <si>
    <t xml:space="preserve">Enron </t>
  </si>
  <si>
    <t xml:space="preserve">   Development Fees</t>
  </si>
  <si>
    <t xml:space="preserve">   Enron's Tax Position</t>
  </si>
  <si>
    <t xml:space="preserve">  Operations Mobilization</t>
  </si>
  <si>
    <t xml:space="preserve">TOTAL PARTNERS</t>
  </si>
  <si>
    <t xml:space="preserve">   TOTAL PROJECT COSTS</t>
  </si>
  <si>
    <t xml:space="preserve">Project Operations</t>
  </si>
  <si>
    <t xml:space="preserve">   State Corporate Tax</t>
  </si>
  <si>
    <t xml:space="preserve">   TOTAL CONSTRUCTION COSTS</t>
  </si>
  <si>
    <t xml:space="preserve">   Start of Construction</t>
  </si>
  <si>
    <t xml:space="preserve">   Federal Income Tax</t>
  </si>
  <si>
    <t xml:space="preserve">  Transmission Line</t>
  </si>
  <si>
    <t xml:space="preserve">Plus:  Withholding Tax on Dividends</t>
  </si>
  <si>
    <t xml:space="preserve">   Term of Construction (Mos)</t>
  </si>
  <si>
    <t xml:space="preserve">  Construction Costs</t>
  </si>
  <si>
    <t xml:space="preserve">Less:  Development Fees</t>
  </si>
  <si>
    <t xml:space="preserve">   Start of Operations - Month / Year</t>
  </si>
  <si>
    <t xml:space="preserve">Depreciation Assumptions</t>
  </si>
  <si>
    <t xml:space="preserve">Basis ($000)</t>
  </si>
  <si>
    <t xml:space="preserve">Life (Yrs)</t>
  </si>
  <si>
    <t xml:space="preserve">Method</t>
  </si>
  <si>
    <t xml:space="preserve">  Transmission Mobilization</t>
  </si>
  <si>
    <t xml:space="preserve">Less:  Tax Cost/(Benefit) on (1)s above</t>
  </si>
  <si>
    <t xml:space="preserve">   Term of Contract (Yrs)</t>
  </si>
  <si>
    <t xml:space="preserve">?</t>
  </si>
  <si>
    <t xml:space="preserve">   TOTAL TRANSMISSION LINE COSTS</t>
  </si>
  <si>
    <t xml:space="preserve">Sub-total Partner Level Adjustments</t>
  </si>
  <si>
    <t xml:space="preserve">   Type of Contract</t>
  </si>
  <si>
    <t xml:space="preserve">BOO</t>
  </si>
  <si>
    <t xml:space="preserve">Tax:</t>
  </si>
  <si>
    <t xml:space="preserve">Asset  </t>
  </si>
  <si>
    <t xml:space="preserve">MACRS</t>
  </si>
  <si>
    <t xml:space="preserve">  Mainline Pipe - 20"</t>
  </si>
  <si>
    <t xml:space="preserve">  Lateral Pipe</t>
  </si>
  <si>
    <t xml:space="preserve">RECONCILED PROJECT NPV</t>
  </si>
  <si>
    <t xml:space="preserve">Pricing</t>
  </si>
  <si>
    <t xml:space="preserve">Escalation</t>
  </si>
  <si>
    <t xml:space="preserve">Book:</t>
  </si>
  <si>
    <t xml:space="preserve">S/L</t>
  </si>
  <si>
    <t xml:space="preserve">  Pipeline Mobilization</t>
  </si>
  <si>
    <t xml:space="preserve">Unlocated Difference</t>
  </si>
  <si>
    <t xml:space="preserve">Margin to SOCO/FL</t>
  </si>
  <si>
    <t xml:space="preserve">hardcoded</t>
  </si>
  <si>
    <t xml:space="preserve">   TOTAL PIPELINE COSTS</t>
  </si>
  <si>
    <t xml:space="preserve">Loop Factor</t>
  </si>
  <si>
    <t xml:space="preserve">Lower transmission costs</t>
  </si>
  <si>
    <t xml:space="preserve">US GAAP:</t>
  </si>
  <si>
    <t xml:space="preserve">  IDC (Interest During Construction)</t>
  </si>
  <si>
    <t xml:space="preserve">DS Coverage Ratios:</t>
  </si>
  <si>
    <t xml:space="preserve">Pre-Tax</t>
  </si>
  <si>
    <t xml:space="preserve">After-Tax</t>
  </si>
  <si>
    <t xml:space="preserve">Decrease transmission losses</t>
  </si>
  <si>
    <t xml:space="preserve">  Withholding Tax on IDC</t>
  </si>
  <si>
    <t xml:space="preserve">         Minimum</t>
  </si>
  <si>
    <t xml:space="preserve">Target</t>
  </si>
  <si>
    <t xml:space="preserve">Capacity Payments:</t>
  </si>
  <si>
    <t xml:space="preserve">Project Ownership </t>
  </si>
  <si>
    <t xml:space="preserve">% of Equity</t>
  </si>
  <si>
    <t xml:space="preserve">% of Cash Flow</t>
  </si>
  <si>
    <t xml:space="preserve">Equity $s</t>
  </si>
  <si>
    <t xml:space="preserve">  Financing Costs</t>
  </si>
  <si>
    <t xml:space="preserve">         Average</t>
  </si>
  <si>
    <t xml:space="preserve">Fixed Capacity </t>
  </si>
  <si>
    <t xml:space="preserve"> /kW-Mon</t>
  </si>
  <si>
    <t xml:space="preserve">Enron</t>
  </si>
  <si>
    <t xml:space="preserve">  Misc Lenders' Expenses</t>
  </si>
  <si>
    <t xml:space="preserve">   (includes ROE, Taxes, Debt Service, Fixed O&amp;M)</t>
  </si>
  <si>
    <t xml:space="preserve">   Total</t>
  </si>
  <si>
    <t xml:space="preserve">  Commitment Fee</t>
  </si>
  <si>
    <t xml:space="preserve">Financing ($000)</t>
  </si>
  <si>
    <t xml:space="preserve">Energy (Variable) Payments:</t>
  </si>
  <si>
    <t xml:space="preserve">  Bank Environmental Consultant</t>
  </si>
  <si>
    <t xml:space="preserve">W Avg Cost of Financing...</t>
  </si>
  <si>
    <t xml:space="preserve">Variable O&amp;M</t>
  </si>
  <si>
    <t xml:space="preserve"> /kWh</t>
  </si>
  <si>
    <t xml:space="preserve">  Bank Independent Engineer</t>
  </si>
  <si>
    <t xml:space="preserve">Cost of Funds</t>
  </si>
  <si>
    <t xml:space="preserve">Margin</t>
  </si>
  <si>
    <t xml:space="preserve">Misc</t>
  </si>
  <si>
    <t xml:space="preserve">  Completion Bond</t>
  </si>
  <si>
    <t xml:space="preserve">   Tranche 1:</t>
  </si>
  <si>
    <t xml:space="preserve">1=SL 2=MTG</t>
  </si>
  <si>
    <t xml:space="preserve">Other</t>
  </si>
  <si>
    <t xml:space="preserve">  Overheads</t>
  </si>
  <si>
    <t xml:space="preserve">         Amount</t>
  </si>
  <si>
    <t xml:space="preserve">All-in-Cost</t>
  </si>
  <si>
    <t xml:space="preserve">Cents/kWh</t>
  </si>
  <si>
    <t xml:space="preserve">  Insurance -Builders Risk (30 BP on Total Cost)  and delay of operation (.25 of 1st yr DS)</t>
  </si>
  <si>
    <t xml:space="preserve">         Term - Years</t>
  </si>
  <si>
    <t xml:space="preserve">  Permits &amp; Licenses</t>
  </si>
  <si>
    <t xml:space="preserve">         Average Life of Loan (including Construction)</t>
  </si>
  <si>
    <t xml:space="preserve">Conn.  Line Data </t>
  </si>
  <si>
    <t xml:space="preserve">  Legal Fees </t>
  </si>
  <si>
    <t xml:space="preserve">         Grace Period  (excluding construction)</t>
  </si>
  <si>
    <t xml:space="preserve">Payments</t>
  </si>
  <si>
    <t xml:space="preserve">kv</t>
  </si>
  <si>
    <t xml:space="preserve">   TOTAL THIRD PARTY DEVMT/FINANCING COSTS</t>
  </si>
  <si>
    <t xml:space="preserve">         Rate </t>
  </si>
  <si>
    <t xml:space="preserve">  Development Fees</t>
  </si>
  <si>
    <t xml:space="preserve">         Financing Fees</t>
  </si>
  <si>
    <t xml:space="preserve">Historical Dispatch</t>
  </si>
  <si>
    <t xml:space="preserve">  Development Costs</t>
  </si>
  <si>
    <t xml:space="preserve">         Commitment Fees</t>
  </si>
  <si>
    <t xml:space="preserve">  Financial Advisor</t>
  </si>
  <si>
    <t xml:space="preserve">   Tranche 2:</t>
  </si>
  <si>
    <t xml:space="preserve">Operating Expenses ($000)</t>
  </si>
  <si>
    <t xml:space="preserve">CPI Rate: </t>
  </si>
  <si>
    <t xml:space="preserve">  Profit</t>
  </si>
  <si>
    <t xml:space="preserve">         Amount </t>
  </si>
  <si>
    <t xml:space="preserve">(U.S. Content)</t>
  </si>
  <si>
    <t xml:space="preserve">  Commission &amp; Startup (Operator)</t>
  </si>
  <si>
    <t xml:space="preserve">Fixed:</t>
  </si>
  <si>
    <t xml:space="preserve">   TOTAL ENRON COSTS</t>
  </si>
  <si>
    <t xml:space="preserve">Miscellaneous O&amp;M</t>
  </si>
  <si>
    <t xml:space="preserve">  Vendor Reps</t>
  </si>
  <si>
    <t xml:space="preserve">Miscellaneous G&amp;A</t>
  </si>
  <si>
    <t xml:space="preserve">  Owner's Engineer Services</t>
  </si>
  <si>
    <t xml:space="preserve">Maintenance Reserve</t>
  </si>
  <si>
    <t xml:space="preserve">   TOTAL TURNKEY OTHER COSTS</t>
  </si>
  <si>
    <t xml:space="preserve">Plant Insurance</t>
  </si>
  <si>
    <t xml:space="preserve">  Working Capital</t>
  </si>
  <si>
    <t xml:space="preserve">Payroll</t>
  </si>
  <si>
    <t xml:space="preserve">  Spare Parts &amp; Other Costs</t>
  </si>
  <si>
    <t xml:space="preserve">   Tranche 3: Other</t>
  </si>
  <si>
    <t xml:space="preserve">Spare Parts </t>
  </si>
  <si>
    <t xml:space="preserve">   TOTAL OTHER COSTS</t>
  </si>
  <si>
    <t xml:space="preserve">Water &amp; Chemicals</t>
  </si>
  <si>
    <t xml:space="preserve">  Contingency -  </t>
  </si>
  <si>
    <t xml:space="preserve">Plant Operations (O&amp;M Fee)</t>
  </si>
  <si>
    <t xml:space="preserve">  Contingency -</t>
  </si>
  <si>
    <t xml:space="preserve">Transmission Capacity Pmt.</t>
  </si>
  <si>
    <t xml:space="preserve">Pipeline Operations</t>
  </si>
  <si>
    <t xml:space="preserve">   TOTAL CONTINGENCY</t>
  </si>
  <si>
    <t xml:space="preserve">         Rate</t>
  </si>
  <si>
    <t xml:space="preserve">Property Tax</t>
  </si>
  <si>
    <t xml:space="preserve">Total Fixed O&amp;M</t>
  </si>
  <si>
    <t xml:space="preserve">   TOTAL PROJECT COSTS ($/kw)</t>
  </si>
  <si>
    <t xml:space="preserve">   Tranche 4: Other</t>
  </si>
  <si>
    <t xml:space="preserve">Variable:</t>
  </si>
  <si>
    <t xml:space="preserve">Power Cost</t>
  </si>
  <si>
    <t xml:space="preserve">Maintenance Excluding (Major Maint)</t>
  </si>
  <si>
    <t xml:space="preserve">         Rate (5 Yr)</t>
  </si>
  <si>
    <t xml:space="preserve">Interest on Maintenance Reserve Account</t>
  </si>
  <si>
    <t xml:space="preserve">   Tranche 5: Other</t>
  </si>
  <si>
    <t xml:space="preserve">   Tranche 6: Other</t>
  </si>
  <si>
    <t xml:space="preserve">   Debt/Equity Structure</t>
  </si>
  <si>
    <t xml:space="preserve">(pari-passu, equity last, etc.)</t>
  </si>
  <si>
    <t xml:space="preserve">   Debt</t>
  </si>
  <si>
    <t xml:space="preserve">   Equity</t>
  </si>
  <si>
    <t xml:space="preserve">   Total Investment</t>
  </si>
  <si>
    <t xml:space="preserve">:pss9~qlbcaqqrsROI~g</t>
  </si>
  <si>
    <t xml:space="preserve">:pss10~qlbcaqqrsNDC~g</t>
  </si>
  <si>
    <t xml:space="preserve">:pss11~qlbcaqqrsFIN~g</t>
  </si>
  <si>
    <t xml:space="preserve">CASH FLOW - PROJECT</t>
  </si>
  <si>
    <t xml:space="preserve">Current Year</t>
  </si>
  <si>
    <t xml:space="preserve">Calendar Year</t>
  </si>
  <si>
    <t xml:space="preserve">Totals</t>
  </si>
  <si>
    <t xml:space="preserve">Months of Operation</t>
  </si>
  <si>
    <t xml:space="preserve">Capacity (MW) - Gross</t>
  </si>
  <si>
    <t xml:space="preserve">Units Produced (MWhr)</t>
  </si>
  <si>
    <t xml:space="preserve">REVENUES:</t>
  </si>
  <si>
    <t xml:space="preserve">Margin TVA to SOCO</t>
  </si>
  <si>
    <t xml:space="preserve">Lower Transmission Costs</t>
  </si>
  <si>
    <t xml:space="preserve">Benefit Transmission Losses</t>
  </si>
  <si>
    <t xml:space="preserve">   Total Benefits</t>
  </si>
  <si>
    <t xml:space="preserve">Interest Income</t>
  </si>
  <si>
    <t xml:space="preserve">         TOTAL REVENUES (+int inc.)</t>
  </si>
  <si>
    <t xml:space="preserve">EXPENSES:</t>
  </si>
  <si>
    <t xml:space="preserve">Operation and Maintenance:</t>
  </si>
  <si>
    <t xml:space="preserve">Fixed O&amp;M:</t>
  </si>
  <si>
    <t xml:space="preserve">Variable O&amp;M:</t>
  </si>
  <si>
    <t xml:space="preserve">Total Variable O&amp;M</t>
  </si>
  <si>
    <t xml:space="preserve">     Total Operations &amp; Maintenance</t>
  </si>
  <si>
    <t xml:space="preserve">          TOTAL EXPENSES</t>
  </si>
  <si>
    <t xml:space="preserve">Project Earnings Before Depr, Int &amp; Taxes (EBDIT)</t>
  </si>
  <si>
    <t xml:space="preserve">=D27-D56</t>
  </si>
  <si>
    <t xml:space="preserve">   Less:  Book Depreciation Expense</t>
  </si>
  <si>
    <t xml:space="preserve">Earnings Before Int &amp; Taxes (EBIT)</t>
  </si>
  <si>
    <t xml:space="preserve">   Less:  Interest Expense (before W/H Tax)</t>
  </si>
  <si>
    <t xml:space="preserve">Earnings Before Taxes (EBT)</t>
  </si>
  <si>
    <t xml:space="preserve">  Less:  Book Provision for Income Taxes</t>
  </si>
  <si>
    <t xml:space="preserve">PROJECT BOOK INCOME</t>
  </si>
  <si>
    <t xml:space="preserve">Plus:  Book Depreciation</t>
  </si>
  <si>
    <t xml:space="preserve">Plus:  Spare Parts</t>
  </si>
  <si>
    <t xml:space="preserve">Plus:  Liquidation Proceeds</t>
  </si>
  <si>
    <t xml:space="preserve">(Working Capital)</t>
  </si>
  <si>
    <t xml:space="preserve">Plus:  Book Provision for Income Taxes</t>
  </si>
  <si>
    <t xml:space="preserve">Less:  Major Maintenance Margin</t>
  </si>
  <si>
    <t xml:space="preserve">Major Maintenance Margin Adjustment</t>
  </si>
  <si>
    <t xml:space="preserve">Less:  Cash Taxes</t>
  </si>
  <si>
    <t xml:space="preserve">Less:  Principal Payments</t>
  </si>
  <si>
    <t xml:space="preserve">NET A-T CASH FLOW DISTRIBUTED</t>
  </si>
  <si>
    <t xml:space="preserve">Pre-Tax Debt Coverage</t>
  </si>
  <si>
    <t xml:space="preserve">(EBDIT/(Debt Serv+W/H Tax))</t>
  </si>
  <si>
    <t xml:space="preserve">After-Tax Debt Coverage</t>
  </si>
  <si>
    <t xml:space="preserve">((EBDIT-Taxes)/(Debt Serv+W/H Tax))</t>
  </si>
  <si>
    <t xml:space="preserve">RETURNS</t>
  </si>
  <si>
    <t xml:space="preserve">Current Year </t>
  </si>
  <si>
    <t xml:space="preserve">PROJECT RETURNS</t>
  </si>
  <si>
    <t xml:space="preserve">Equity Injection</t>
  </si>
  <si>
    <t xml:space="preserve">Net A-T Cash Flow</t>
  </si>
  <si>
    <t xml:space="preserve">Total Cash Flow</t>
  </si>
  <si>
    <t xml:space="preserve">20 Year Running NPV</t>
  </si>
  <si>
    <t xml:space="preserve">20 Year Running IRR</t>
  </si>
  <si>
    <t xml:space="preserve">Project NPV                       discount rate =</t>
  </si>
  <si>
    <t xml:space="preserve">Project IRR</t>
  </si>
  <si>
    <t xml:space="preserve">Discounted Payback Year</t>
  </si>
  <si>
    <t xml:space="preserve">ENRON RETURNS</t>
  </si>
  <si>
    <t xml:space="preserve">Enron NPV                         discount rate =</t>
  </si>
  <si>
    <t xml:space="preserve">Enron IRR</t>
  </si>
  <si>
    <t xml:space="preserve">DRAWDOWN SCHEDULE</t>
  </si>
  <si>
    <t xml:space="preserve">Total Cost Excluding IDC</t>
  </si>
  <si>
    <t xml:space="preserve">PROJECT COSTS</t>
  </si>
  <si>
    <t xml:space="preserve">Monthly</t>
  </si>
  <si>
    <t xml:space="preserve">Cumulative</t>
  </si>
  <si>
    <t xml:space="preserve">Description</t>
  </si>
  <si>
    <t xml:space="preserve">% of</t>
  </si>
  <si>
    <t xml:space="preserve">Cost</t>
  </si>
  <si>
    <t xml:space="preserve">Month</t>
  </si>
  <si>
    <t xml:space="preserve">of Activity</t>
  </si>
  <si>
    <t xml:space="preserve">Total Cost</t>
  </si>
  <si>
    <t xml:space="preserve">($ 000's)</t>
  </si>
  <si>
    <t xml:space="preserve">Circuit breaker option</t>
  </si>
  <si>
    <t xml:space="preserve">Towers, breakers, land options</t>
  </si>
  <si>
    <t xml:space="preserve">n/a</t>
  </si>
  <si>
    <t xml:space="preserve">Circuit breaker purchase</t>
  </si>
  <si>
    <t xml:space="preserve">Breakers, ROW, E&amp;C, switchyard</t>
  </si>
  <si>
    <t xml:space="preserve">Construction</t>
  </si>
  <si>
    <t xml:space="preserve">Operations</t>
  </si>
  <si>
    <t xml:space="preserve">TOTAL</t>
  </si>
  <si>
    <t xml:space="preserve">INTEREST DURING CONSTRUCTION</t>
  </si>
  <si>
    <t xml:space="preserve">Current Month</t>
  </si>
  <si>
    <t xml:space="preserve">Calendar Month</t>
  </si>
  <si>
    <t xml:space="preserve">August 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</si>
  <si>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</si>
  <si>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</si>
  <si>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</si>
  <si>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</si>
  <si>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</si>
  <si>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(excl IDC)</t>
  </si>
  <si>
    <t xml:space="preserve">Total</t>
  </si>
  <si>
    <t xml:space="preserve">Project Cost</t>
  </si>
  <si>
    <t xml:space="preserve">Interest Rate</t>
  </si>
  <si>
    <t xml:space="preserve">Debt/Equity Structure</t>
  </si>
  <si>
    <t xml:space="preserve">Construction Balance</t>
  </si>
  <si>
    <t xml:space="preserve">Beginning Construction Balance</t>
  </si>
  <si>
    <t xml:space="preserve">Construction Drawdown</t>
  </si>
  <si>
    <t xml:space="preserve">Ending Construction Balance</t>
  </si>
  <si>
    <t xml:space="preserve">  Cumulative % complete (excl IDC &amp; Prepayment)</t>
  </si>
  <si>
    <t xml:space="preserve">  All-In Cumulative % Complete (excl Prepayment)</t>
  </si>
  <si>
    <t xml:space="preserve">Debt Balance</t>
  </si>
  <si>
    <t xml:space="preserve">Beginning Debt Balance</t>
  </si>
  <si>
    <t xml:space="preserve">Plus:  Debt Proceeds</t>
  </si>
  <si>
    <t xml:space="preserve">Ending Balance Debt Only</t>
  </si>
  <si>
    <t xml:space="preserve">Interest During Construction -- Monthly</t>
  </si>
  <si>
    <t xml:space="preserve">Equity Balance</t>
  </si>
  <si>
    <t xml:space="preserve">Beginning Equity Balance</t>
  </si>
  <si>
    <t xml:space="preserve">Plus:  Equity Proceeds</t>
  </si>
  <si>
    <t xml:space="preserve">Ending Equity Balance</t>
  </si>
  <si>
    <t xml:space="preserve">Total Interest During Construction</t>
  </si>
  <si>
    <t xml:space="preserve">FINANCING</t>
  </si>
  <si>
    <t xml:space="preserve">Totals  </t>
  </si>
  <si>
    <t xml:space="preserve">DEBT SERVICE</t>
  </si>
  <si>
    <t xml:space="preserve">   Interest</t>
  </si>
  <si>
    <t xml:space="preserve">   Principal</t>
  </si>
  <si>
    <t xml:space="preserve">         Total Debt Service</t>
  </si>
  <si>
    <t xml:space="preserve">PRINCIPAL</t>
  </si>
  <si>
    <t xml:space="preserve">REPAYMENT</t>
  </si>
  <si>
    <t xml:space="preserve">Term </t>
  </si>
  <si>
    <t xml:space="preserve">Years</t>
  </si>
  <si>
    <t xml:space="preserve">Grace Period:</t>
  </si>
  <si>
    <t xml:space="preserve">Year</t>
  </si>
  <si>
    <t xml:space="preserve">Period</t>
  </si>
  <si>
    <t xml:space="preserve">Begin Bal</t>
  </si>
  <si>
    <t xml:space="preserve">Interest</t>
  </si>
  <si>
    <t xml:space="preserve">Principal</t>
  </si>
  <si>
    <t xml:space="preserve">End Bal</t>
  </si>
  <si>
    <t xml:space="preserve">TOTALS</t>
  </si>
  <si>
    <t xml:space="preserve">CASH TAXES, COMMITMENT FEE</t>
  </si>
  <si>
    <t xml:space="preserve">CASH TAXES</t>
  </si>
  <si>
    <t xml:space="preserve">  EBDIT</t>
  </si>
  <si>
    <t xml:space="preserve">  Less:  Tax Depreciation</t>
  </si>
  <si>
    <t xml:space="preserve">  Less:  Interest Expense (before W/H Tax)</t>
  </si>
  <si>
    <t xml:space="preserve">  Taxable Income</t>
  </si>
  <si>
    <t xml:space="preserve">  Times:  Tax Rate</t>
  </si>
  <si>
    <t xml:space="preserve">TOTAL CASH TAXES PAID</t>
  </si>
  <si>
    <t xml:space="preserve">COMMITMENT FEE </t>
  </si>
  <si>
    <t xml:space="preserve">Plus</t>
  </si>
  <si>
    <t xml:space="preserve">Less</t>
  </si>
  <si>
    <t xml:space="preserve">Beginning</t>
  </si>
  <si>
    <t xml:space="preserve">Ending</t>
  </si>
  <si>
    <t xml:space="preserve">Commitment</t>
  </si>
  <si>
    <t xml:space="preserve">Weighted Avg</t>
  </si>
  <si>
    <t xml:space="preserve">Committed $'s</t>
  </si>
  <si>
    <t xml:space="preserve">Committed</t>
  </si>
  <si>
    <t xml:space="preserve">Advanced</t>
  </si>
  <si>
    <t xml:space="preserve">Fee</t>
  </si>
  <si>
    <t xml:space="preserve">Fee Rate</t>
  </si>
  <si>
    <t xml:space="preserve">Total Commitment Fee</t>
  </si>
  <si>
    <t xml:space="preserve">DEPRECIATION CALCULATIONS</t>
  </si>
  <si>
    <t xml:space="preserve">=IF(ASS!$J$23=0, 0,IF(F12&lt;ASS!$J$23+1, SLN(ASS!$I$23,0,ASS!$J$23)*F14/12, IF(F12=ASS!$J$23+1, SLN(ASS!$I$23,0,ASS!$J$23)*(12-F14)/12, 0)))</t>
  </si>
  <si>
    <t xml:space="preserve">=IF(ASS!$J$23=0, 0, IF(G12=ASS!$J$23,$E$18-SUM($F$18:F18),IF(G12&gt;TERM,0,IF(G12&lt;ASS!$J$23+1, SLN(ASS!$I$23,0,ASS!$J$23)*G14/12, IF(G12=ASS!$J$23+1, SLN(ASS!$I$23,0,ASS!$J$23)*(12-G14)/12, 0)))))</t>
  </si>
  <si>
    <t xml:space="preserve">Tax</t>
  </si>
  <si>
    <t xml:space="preserve">Book</t>
  </si>
  <si>
    <t xml:space="preserve">US GAAP</t>
  </si>
  <si>
    <t xml:space="preserve">Total Project Cost</t>
  </si>
  <si>
    <t xml:space="preserve">Less:  Spare Parts</t>
  </si>
  <si>
    <t xml:space="preserve">MACRS Schedule</t>
  </si>
  <si>
    <t xml:space="preserve">Less:  Working Capital</t>
  </si>
  <si>
    <t xml:space="preserve">Total Depreciable Basis</t>
  </si>
  <si>
    <t xml:space="preserve">Tax Depreciation:</t>
  </si>
  <si>
    <t xml:space="preserve">Original</t>
  </si>
  <si>
    <t xml:space="preserve">Current Tax Depreciation:</t>
  </si>
  <si>
    <t xml:space="preserve">Basis  </t>
  </si>
  <si>
    <t xml:space="preserve">Asset 1 </t>
  </si>
  <si>
    <t xml:space="preserve">Total Current Tax Depreciation</t>
  </si>
  <si>
    <t xml:space="preserve">Accumulated Tax Depreciation</t>
  </si>
  <si>
    <t xml:space="preserve">Beginning Tax Basis</t>
  </si>
  <si>
    <t xml:space="preserve">Plus:  New Additions</t>
  </si>
  <si>
    <t xml:space="preserve">Less: Current Depreciation</t>
  </si>
  <si>
    <t xml:space="preserve">Ending Tax Basis</t>
  </si>
  <si>
    <t xml:space="preserve">Book Depreciation:</t>
  </si>
  <si>
    <t xml:space="preserve">Current Book Depreciation:</t>
  </si>
  <si>
    <t xml:space="preserve">Total Current Book Depreciation</t>
  </si>
  <si>
    <t xml:space="preserve">Accumulated Book Depreciation</t>
  </si>
  <si>
    <t xml:space="preserve">Beginning Book Basis</t>
  </si>
  <si>
    <t xml:space="preserve">Ending Book Basis</t>
  </si>
  <si>
    <t xml:space="preserve">US GAAP Depreciation:</t>
  </si>
  <si>
    <t xml:space="preserve">BALANCE SHEET</t>
  </si>
  <si>
    <t xml:space="preserve">Opening</t>
  </si>
  <si>
    <t xml:space="preserve">($ in 000s)</t>
  </si>
  <si>
    <t xml:space="preserve">Balance</t>
  </si>
  <si>
    <t xml:space="preserve">Assets:</t>
  </si>
  <si>
    <t xml:space="preserve">Cash and cash equivalents</t>
  </si>
  <si>
    <t xml:space="preserve">Accounts Receivable</t>
  </si>
  <si>
    <t xml:space="preserve">Inventory</t>
  </si>
  <si>
    <t xml:space="preserve">Construction in progress</t>
  </si>
  <si>
    <t xml:space="preserve">Property, plant and equipment</t>
  </si>
  <si>
    <t xml:space="preserve">Accumulated depreciation</t>
  </si>
  <si>
    <t xml:space="preserve">Property, plant, and equipment, net</t>
  </si>
  <si>
    <t xml:space="preserve">Land</t>
  </si>
  <si>
    <t xml:space="preserve">Total Assets</t>
  </si>
  <si>
    <t xml:space="preserve">Liabilities:</t>
  </si>
  <si>
    <t xml:space="preserve">Accounts Payable</t>
  </si>
  <si>
    <t xml:space="preserve">Interest Payable</t>
  </si>
  <si>
    <t xml:space="preserve">Income taxes payable</t>
  </si>
  <si>
    <t xml:space="preserve">Long-term debt</t>
  </si>
  <si>
    <t xml:space="preserve">Other liabilities</t>
  </si>
  <si>
    <t xml:space="preserve">Total liabilities</t>
  </si>
  <si>
    <t xml:space="preserve">Stockholders' equity:</t>
  </si>
  <si>
    <t xml:space="preserve">Capital Stock</t>
  </si>
  <si>
    <t xml:space="preserve">Dividends</t>
  </si>
  <si>
    <t xml:space="preserve">Retained earnings</t>
  </si>
  <si>
    <t xml:space="preserve">Total stockholders' equity</t>
  </si>
  <si>
    <t xml:space="preserve">Total liabilities and stockholders' equity</t>
  </si>
  <si>
    <t xml:space="preserve">Balance Check:</t>
  </si>
  <si>
    <t xml:space="preserve">INCOME STATEMENT</t>
  </si>
  <si>
    <t xml:space="preserve">Sales/Revenues (includes int. inc.)</t>
  </si>
  <si>
    <t xml:space="preserve">Fixed O&amp;M</t>
  </si>
  <si>
    <t xml:space="preserve">Depreciation</t>
  </si>
  <si>
    <t xml:space="preserve">Interest expense</t>
  </si>
  <si>
    <t xml:space="preserve">Total expenses</t>
  </si>
  <si>
    <t xml:space="preserve">Income before income taxes</t>
  </si>
  <si>
    <t xml:space="preserve">Provision for income taxes (income &amp; surtax)</t>
  </si>
  <si>
    <t xml:space="preserve">Net income</t>
  </si>
  <si>
    <t xml:space="preserve">STATEMENT OF CASH FLOWS</t>
  </si>
  <si>
    <t xml:space="preserve">Cash flows from operating activities:</t>
  </si>
  <si>
    <t xml:space="preserve">Cash received from customers</t>
  </si>
  <si>
    <t xml:space="preserve">Cash paid to suppliers and employees</t>
  </si>
  <si>
    <t xml:space="preserve">Spare Parts</t>
  </si>
  <si>
    <t xml:space="preserve">Major Maintenance Reserve</t>
  </si>
  <si>
    <t xml:space="preserve">Interest paid</t>
  </si>
  <si>
    <t xml:space="preserve">Income taxes paid</t>
  </si>
  <si>
    <t xml:space="preserve">Net cash provided by operating activities</t>
  </si>
  <si>
    <t xml:space="preserve">Cash flows from financing activities:</t>
  </si>
  <si>
    <t xml:space="preserve">Principal payments under long-term debt obligations</t>
  </si>
  <si>
    <t xml:space="preserve">Proceeds from issuance of long-term debt</t>
  </si>
  <si>
    <t xml:space="preserve">Proceeds from refinancing of long-term debt</t>
  </si>
  <si>
    <t xml:space="preserve">Loans to Shareholders - Trapped Cash</t>
  </si>
  <si>
    <t xml:space="preserve">Loans to Shareholders - Legal Reserve</t>
  </si>
  <si>
    <t xml:space="preserve">Interest Income - Loans to Shareholders</t>
  </si>
  <si>
    <t xml:space="preserve">Increase/(Decrease) in Labor Liability</t>
  </si>
  <si>
    <t xml:space="preserve">Capital contributions</t>
  </si>
  <si>
    <t xml:space="preserve">Dividends paid</t>
  </si>
  <si>
    <t xml:space="preserve">Net cash provided by financing activities</t>
  </si>
  <si>
    <t xml:space="preserve">Net increase in cash and cash equivalents</t>
  </si>
  <si>
    <t xml:space="preserve">Cash and cash equivalents at beginning of year</t>
  </si>
  <si>
    <t xml:space="preserve">Cash and cash equivalents at end of year</t>
  </si>
</sst>
</file>

<file path=xl/styles.xml><?xml version="1.0" encoding="utf-8"?>
<styleSheet xmlns="http://schemas.openxmlformats.org/spreadsheetml/2006/main">
  <numFmts count="22">
    <numFmt numFmtId="164" formatCode="General"/>
    <numFmt numFmtId="165" formatCode="\$#,##0_);&quot;($&quot;#,##0\)"/>
    <numFmt numFmtId="166" formatCode="[$-409]#,##0_);\(#,##0\)"/>
    <numFmt numFmtId="167" formatCode="0%"/>
    <numFmt numFmtId="168" formatCode="0.00%"/>
    <numFmt numFmtId="169" formatCode="\$#,##0_);[RED]&quot;($&quot;#,##0\)"/>
    <numFmt numFmtId="170" formatCode="#,##0"/>
    <numFmt numFmtId="171" formatCode="[$-409]d\-mmm"/>
    <numFmt numFmtId="172" formatCode=";;;"/>
    <numFmt numFmtId="173" formatCode="[$-409]#,##0_);[RED]\(#,##0\)"/>
    <numFmt numFmtId="174" formatCode="0.00"/>
    <numFmt numFmtId="175" formatCode="\$#,##0.00_);&quot;($&quot;#,##0.00\)"/>
    <numFmt numFmtId="176" formatCode="\$#,##0.0000_);[RED]&quot;($&quot;#,##0.0000\)"/>
    <numFmt numFmtId="177" formatCode="_(* #,##0.00_);_(* \(#,##0.00\);_(* \-??_);_(@_)"/>
    <numFmt numFmtId="178" formatCode="_(* #,##0.0000_);_(* \(#,##0.0000\);_(* \-??_);_(@_)"/>
    <numFmt numFmtId="179" formatCode="_(* #,##0_);_(* \(#,##0\);_(* \-??_);_(@_)"/>
    <numFmt numFmtId="180" formatCode="\$#,##0.00_);[RED]&quot;($&quot;#,##0.00\)"/>
    <numFmt numFmtId="181" formatCode="0"/>
    <numFmt numFmtId="182" formatCode="mm/dd/yy"/>
    <numFmt numFmtId="183" formatCode="0.0%"/>
    <numFmt numFmtId="184" formatCode="[$-409]mmm\-yy"/>
    <numFmt numFmtId="185" formatCode="0.000%"/>
  </numFmts>
  <fonts count="3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2"/>
      <color rgb="FF0000FF"/>
      <name val="Times New Roman"/>
      <family val="1"/>
    </font>
    <font>
      <b val="true"/>
      <sz val="12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Times New Roman"/>
      <family val="0"/>
    </font>
    <font>
      <sz val="10"/>
      <color rgb="FF3333CC"/>
      <name val="Times New Roman"/>
      <family val="1"/>
    </font>
    <font>
      <i val="true"/>
      <sz val="10"/>
      <name val="Times New Roman"/>
      <family val="0"/>
    </font>
    <font>
      <i val="true"/>
      <sz val="8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10"/>
      <color rgb="FF000000"/>
      <name val="Times New Roman"/>
      <family val="1"/>
    </font>
    <font>
      <i val="true"/>
      <sz val="10"/>
      <name val="Times New Roman"/>
      <family val="1"/>
    </font>
    <font>
      <u val="singl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Arial"/>
      <family val="2"/>
    </font>
    <font>
      <b val="true"/>
      <u val="single"/>
      <sz val="8"/>
      <name val="Times New Roman"/>
      <family val="1"/>
    </font>
    <font>
      <sz val="8"/>
      <name val="Times New Roman"/>
      <family val="1"/>
    </font>
    <font>
      <u val="single"/>
      <sz val="8"/>
      <name val="Times New Roman"/>
      <family val="1"/>
    </font>
    <font>
      <u val="single"/>
      <sz val="10"/>
      <color rgb="FF3333CC"/>
      <name val="Times New Roman"/>
      <family val="1"/>
    </font>
    <font>
      <sz val="6"/>
      <name val="Times New Roman"/>
      <family val="1"/>
    </font>
    <font>
      <u val="doub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Times New Roman"/>
      <family val="1"/>
    </font>
    <font>
      <b val="true"/>
      <u val="single"/>
      <sz val="10"/>
      <name val="Times New Roman"/>
      <family val="0"/>
    </font>
    <font>
      <sz val="10"/>
      <color rgb="FF000000"/>
      <name val="Times New Roman"/>
      <family val="1"/>
    </font>
    <font>
      <sz val="10"/>
      <color rgb="FFFF0000"/>
      <name val="Times New Roman"/>
      <family val="0"/>
    </font>
    <font>
      <u val="single"/>
      <sz val="10"/>
      <name val="Times New Roman"/>
      <family val="0"/>
    </font>
    <font>
      <i val="true"/>
      <sz val="10"/>
      <name val="Arial"/>
      <family val="0"/>
    </font>
    <font>
      <u val="single"/>
      <sz val="10"/>
      <color rgb="FF0000FF"/>
      <name val="Times New Roman"/>
      <family val="1"/>
    </font>
    <font>
      <u val="double"/>
      <sz val="10"/>
      <color rgb="FF0000F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 style="thin"/>
      <right style="thin"/>
      <top style="double"/>
      <bottom style="double"/>
      <diagonal/>
    </border>
    <border diagonalUp="false" diagonalDown="false">
      <left/>
      <right style="thin"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double"/>
      <right style="thin"/>
      <top style="double"/>
      <bottom style="double"/>
      <diagonal/>
    </border>
    <border diagonalUp="false" diagonalDown="false">
      <left style="thin"/>
      <right/>
      <top style="double"/>
      <bottom style="double"/>
      <diagonal/>
    </border>
    <border diagonalUp="false" diagonalDown="false">
      <left style="double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double"/>
      <top style="thin"/>
      <bottom style="double"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6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2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3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" fillId="3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4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8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4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" fillId="4" borderId="2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externalLink" Target="externalLinks/externalLink1.xml"/><Relationship Id="rId1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674640</xdr:colOff>
          <xdr:row>0</xdr:row>
          <xdr:rowOff>19080</xdr:rowOff>
        </xdr:from>
        <xdr:to>
          <xdr:col>2</xdr:col>
          <xdr:colOff>51120</xdr:colOff>
          <xdr:row>1</xdr:row>
          <xdr:rowOff>152280</xdr:rowOff>
        </xdr:to>
        <xdr:sp>
          <xdr:nvSpPr>
            <xdr:cNvPr id="1001" name="Button 1" descr="CONVERG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CONVERGE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150840</xdr:colOff>
          <xdr:row>0</xdr:row>
          <xdr:rowOff>9360</xdr:rowOff>
        </xdr:from>
        <xdr:to>
          <xdr:col>1</xdr:col>
          <xdr:colOff>525600</xdr:colOff>
          <xdr:row>1</xdr:row>
          <xdr:rowOff>142920</xdr:rowOff>
        </xdr:to>
        <xdr:sp>
          <xdr:nvSpPr>
            <xdr:cNvPr id="1002" name="Button 2" descr="PRINT AL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PRINT ALL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E.P.T/Transmission%20Models/Sensitiviti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2)"/>
      <sheetName val="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s2.xml"/><Relationship Id="rId5" Type="http://schemas.openxmlformats.org/officeDocument/2006/relationships/ctrlProp" Target="../ctrlProps/ctrlProps3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L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22.14"/>
    <col collapsed="false" customWidth="true" hidden="false" outlineLevel="0" max="3" min="3" style="1" width="9.28"/>
    <col collapsed="false" customWidth="true" hidden="false" outlineLevel="0" max="4" min="4" style="1" width="9.99"/>
    <col collapsed="false" customWidth="true" hidden="false" outlineLevel="0" max="5" min="5" style="1" width="9.28"/>
    <col collapsed="false" customWidth="true" hidden="false" outlineLevel="0" max="6" min="6" style="1" width="2.7"/>
    <col collapsed="false" customWidth="true" hidden="false" outlineLevel="0" max="7" min="7" style="1" width="12.85"/>
    <col collapsed="false" customWidth="true" hidden="false" outlineLevel="0" max="8" min="8" style="1" width="22.42"/>
    <col collapsed="false" customWidth="true" hidden="false" outlineLevel="0" max="9" min="9" style="1" width="10.71"/>
    <col collapsed="false" customWidth="true" hidden="false" outlineLevel="0" max="10" min="10" style="1" width="12.42"/>
    <col collapsed="false" customWidth="true" hidden="false" outlineLevel="0" max="11" min="11" style="1" width="10.71"/>
    <col collapsed="false" customWidth="true" hidden="false" outlineLevel="0" max="12" min="12" style="1" width="2.7"/>
    <col collapsed="false" customWidth="true" hidden="false" outlineLevel="0" max="13" min="13" style="1" width="11.7"/>
    <col collapsed="false" customWidth="true" hidden="false" outlineLevel="0" max="14" min="14" style="1" width="16.84"/>
    <col collapsed="false" customWidth="true" hidden="false" outlineLevel="0" max="15" min="15" style="1" width="12.85"/>
    <col collapsed="false" customWidth="true" hidden="false" outlineLevel="0" max="16" min="16" style="1" width="16.7"/>
    <col collapsed="false" customWidth="true" hidden="false" outlineLevel="0" max="17" min="17" style="1" width="8.56"/>
    <col collapsed="false" customWidth="true" hidden="false" outlineLevel="0" max="18" min="18" style="1" width="8.99"/>
    <col collapsed="false" customWidth="true" hidden="false" outlineLevel="0" max="19" min="19" style="1" width="2.7"/>
    <col collapsed="false" customWidth="true" hidden="false" outlineLevel="0" max="20" min="20" style="1" width="19.14"/>
    <col collapsed="false" customWidth="true" hidden="false" outlineLevel="0" max="21" min="21" style="1" width="12.56"/>
    <col collapsed="false" customWidth="true" hidden="false" outlineLevel="0" max="22" min="22" style="1" width="8.56"/>
    <col collapsed="false" customWidth="true" hidden="false" outlineLevel="0" max="23" min="23" style="1" width="13.14"/>
    <col collapsed="false" customWidth="true" hidden="false" outlineLevel="0" max="24" min="24" style="1" width="11.28"/>
    <col collapsed="false" customWidth="true" hidden="false" outlineLevel="0" max="25" min="25" style="1" width="7.99"/>
    <col collapsed="false" customWidth="false" hidden="false" outlineLevel="0" max="26" min="26" style="1" width="9.14"/>
    <col collapsed="false" customWidth="true" hidden="false" outlineLevel="0" max="27" min="27" style="1" width="10.56"/>
    <col collapsed="false" customWidth="false" hidden="false" outlineLevel="0" max="29" min="28" style="1" width="9.14"/>
    <col collapsed="false" customWidth="true" hidden="false" outlineLevel="0" max="30" min="30" style="1" width="18.14"/>
    <col collapsed="false" customWidth="false" hidden="false" outlineLevel="0" max="257" min="31" style="1" width="9.14"/>
  </cols>
  <sheetData>
    <row r="3" customFormat="false" ht="15.75" hidden="false" customHeight="false" outlineLevel="0" collapsed="false">
      <c r="A3" s="2" t="s">
        <v>0</v>
      </c>
      <c r="B3" s="3"/>
      <c r="C3" s="4"/>
      <c r="D3" s="5" t="e">
        <f aca="false">IF(loopfactor=0," ","WARNING:  MODEL HAS NOT BEEN CONVERGED")</f>
        <v>#REF!</v>
      </c>
      <c r="H3" s="0"/>
      <c r="J3" s="5" t="str">
        <f aca="false">IF((X31+X39+X47+X55+X63+X71)=DEBT," ","WARNING:  THE SUM OF THE DEBT LISTED IN THE TRANCHES DOES NOT EQUAL TOTAL DEBT")</f>
        <v> </v>
      </c>
      <c r="L3" s="1" t="s">
        <v>1</v>
      </c>
      <c r="M3" s="6" t="s">
        <v>1</v>
      </c>
      <c r="P3" s="5" t="e">
        <f aca="false">IF(X21&gt;1,"WARNING:  NPV DOES NOT RECONCILE"," ")</f>
        <v>#REF!</v>
      </c>
    </row>
    <row r="4" customFormat="false" ht="15.75" hidden="false" customHeight="false" outlineLevel="0" collapsed="false">
      <c r="A4" s="7"/>
      <c r="B4" s="8"/>
      <c r="C4" s="9"/>
      <c r="D4" s="5" t="e">
        <f aca="false">IF(ABS(SUM(BS_IS!F37:AG37))&lt;0.01," ","WARNING:  BALANCE SHEET IS NOT BALANCED")</f>
        <v>#REF!</v>
      </c>
      <c r="H4" s="0"/>
      <c r="J4" s="5" t="str">
        <f aca="false">IF(ABS(RETURNS!H9+EQUITY)&lt;0.1," ","WARNING:  EQUITY DISTRIBUTED IN THE RETURNS CALC DOES NOT EQUAL TOTAL EQUITY")</f>
        <v> </v>
      </c>
      <c r="M4" s="6"/>
    </row>
    <row r="5" customFormat="false" ht="15.75" hidden="false" customHeight="false" outlineLevel="0" collapsed="false">
      <c r="A5" s="10" t="s">
        <v>2</v>
      </c>
      <c r="B5" s="11"/>
      <c r="C5" s="12"/>
      <c r="D5" s="5" t="str">
        <f aca="false">IF(V24&lt;W24,"WARNING:  A-TAX TARGET MINIMUM DCR HAS NOT BEEN MET"," ")</f>
        <v> </v>
      </c>
      <c r="H5" s="0"/>
      <c r="J5" s="5" t="str">
        <f aca="false">IF(V25&lt;W25,"WARNING:  A-TAX TARGET AVERAGE DCR HAS NOT BEEN MET"," ")</f>
        <v> </v>
      </c>
      <c r="M5" s="6"/>
    </row>
    <row r="6" customFormat="false" ht="13.5" hidden="false" customHeight="false" outlineLevel="0" collapsed="false">
      <c r="A6" s="1" t="s">
        <v>3</v>
      </c>
      <c r="AC6" s="1" t="s">
        <v>1</v>
      </c>
    </row>
    <row r="7" customFormat="false" ht="15" hidden="false" customHeight="false" outlineLevel="0" collapsed="false">
      <c r="A7" s="13" t="s">
        <v>4</v>
      </c>
      <c r="B7" s="14"/>
      <c r="C7" s="15"/>
      <c r="D7" s="16" t="n">
        <f aca="false">2000</f>
        <v>2000</v>
      </c>
      <c r="E7" s="17"/>
      <c r="G7" s="13" t="s">
        <v>5</v>
      </c>
      <c r="H7" s="14"/>
      <c r="I7" s="15"/>
      <c r="J7" s="15"/>
      <c r="K7" s="17"/>
      <c r="M7" s="18"/>
      <c r="N7" s="15"/>
      <c r="O7" s="15"/>
      <c r="P7" s="15"/>
      <c r="Q7" s="15"/>
      <c r="R7" s="19" t="s">
        <v>6</v>
      </c>
      <c r="S7" s="1" t="s">
        <v>1</v>
      </c>
      <c r="T7" s="20" t="s">
        <v>7</v>
      </c>
      <c r="U7" s="21"/>
      <c r="V7" s="22" t="s">
        <v>8</v>
      </c>
      <c r="W7" s="22" t="s">
        <v>9</v>
      </c>
      <c r="X7" s="23" t="s">
        <v>10</v>
      </c>
      <c r="AC7" s="24" t="s">
        <v>11</v>
      </c>
      <c r="AD7" s="25"/>
      <c r="AE7" s="26" t="s">
        <v>12</v>
      </c>
      <c r="AF7" s="27" t="s">
        <v>13</v>
      </c>
      <c r="AG7" s="28" t="s">
        <v>14</v>
      </c>
    </row>
    <row r="8" customFormat="false" ht="14.25" hidden="false" customHeight="false" outlineLevel="0" collapsed="false">
      <c r="A8" s="29" t="s">
        <v>15</v>
      </c>
      <c r="B8" s="30"/>
      <c r="C8" s="30"/>
      <c r="D8" s="31" t="n">
        <v>475</v>
      </c>
      <c r="E8" s="32" t="s">
        <v>16</v>
      </c>
      <c r="G8" s="29" t="s">
        <v>17</v>
      </c>
      <c r="H8" s="30"/>
      <c r="I8" s="31"/>
      <c r="J8" s="33" t="s">
        <v>18</v>
      </c>
      <c r="K8" s="34"/>
      <c r="M8" s="35" t="s">
        <v>19</v>
      </c>
      <c r="N8" s="30"/>
      <c r="O8" s="36"/>
      <c r="P8" s="30"/>
      <c r="Q8" s="30"/>
      <c r="R8" s="37" t="n">
        <f aca="false">$E$15</f>
        <v>2000</v>
      </c>
      <c r="T8" s="38"/>
      <c r="U8" s="30"/>
      <c r="V8" s="30"/>
      <c r="W8" s="30"/>
      <c r="X8" s="39"/>
      <c r="AC8" s="18" t="s">
        <v>20</v>
      </c>
      <c r="AD8" s="15"/>
      <c r="AE8" s="40" t="n">
        <v>2397.28194348738</v>
      </c>
      <c r="AF8" s="40" t="n">
        <f aca="false">IDC!$D$35</f>
        <v>245.375</v>
      </c>
      <c r="AG8" s="41" t="n">
        <f aca="false">AF8-EST_IDC</f>
        <v>-2151.90694348738</v>
      </c>
    </row>
    <row r="9" customFormat="false" ht="12.75" hidden="false" customHeight="false" outlineLevel="0" collapsed="false">
      <c r="A9" s="29" t="s">
        <v>21</v>
      </c>
      <c r="B9" s="30"/>
      <c r="C9" s="30"/>
      <c r="D9" s="42" t="n">
        <v>1</v>
      </c>
      <c r="E9" s="34"/>
      <c r="G9" s="29" t="s">
        <v>22</v>
      </c>
      <c r="H9" s="30"/>
      <c r="I9" s="43" t="n">
        <v>0.05</v>
      </c>
      <c r="K9" s="34"/>
      <c r="M9" s="29" t="s">
        <v>23</v>
      </c>
      <c r="N9" s="30"/>
      <c r="O9" s="44"/>
      <c r="P9" s="45"/>
      <c r="Q9" s="30"/>
      <c r="R9" s="46" t="n">
        <f aca="false">O9*(1+CPI)^($R$8-$O$8)</f>
        <v>0</v>
      </c>
      <c r="T9" s="47" t="s">
        <v>24</v>
      </c>
      <c r="U9" s="30"/>
      <c r="V9" s="48" t="n">
        <v>0.1</v>
      </c>
      <c r="W9" s="49" t="n">
        <f aca="false">RETURNS!D16</f>
        <v>0.209858597198111</v>
      </c>
      <c r="X9" s="50" t="n">
        <f aca="false">RETURNS!D15</f>
        <v>2444.18244928625</v>
      </c>
      <c r="Z9" s="51" t="s">
        <v>25</v>
      </c>
      <c r="AA9" s="51"/>
      <c r="AC9" s="29" t="s">
        <v>26</v>
      </c>
      <c r="AD9" s="30"/>
      <c r="AE9" s="52" t="n">
        <v>0</v>
      </c>
      <c r="AF9" s="52" t="e">
        <f aca="false">#REF!</f>
        <v>#REF!</v>
      </c>
      <c r="AG9" s="53" t="e">
        <f aca="false">AF9-AE9</f>
        <v>#REF!</v>
      </c>
    </row>
    <row r="10" customFormat="false" ht="13.5" hidden="false" customHeight="false" outlineLevel="0" collapsed="false">
      <c r="A10" s="29" t="s">
        <v>27</v>
      </c>
      <c r="B10" s="30"/>
      <c r="C10" s="54" t="s">
        <v>28</v>
      </c>
      <c r="D10" s="55" t="n">
        <v>12500</v>
      </c>
      <c r="E10" s="56" t="s">
        <v>29</v>
      </c>
      <c r="G10" s="57" t="s">
        <v>30</v>
      </c>
      <c r="H10" s="58"/>
      <c r="I10" s="59" t="n">
        <v>0</v>
      </c>
      <c r="J10" s="58"/>
      <c r="K10" s="60"/>
      <c r="M10" s="29" t="s">
        <v>31</v>
      </c>
      <c r="N10" s="30"/>
      <c r="O10" s="61"/>
      <c r="P10" s="45"/>
      <c r="Q10" s="30"/>
      <c r="R10" s="62" t="n">
        <v>0</v>
      </c>
      <c r="T10" s="38"/>
      <c r="U10" s="30"/>
      <c r="V10" s="30"/>
      <c r="W10" s="63" t="n">
        <v>0.1</v>
      </c>
      <c r="X10" s="64" t="s">
        <v>32</v>
      </c>
      <c r="Z10" s="65" t="n">
        <f aca="false">IF(ROUND(IRR,3)&gt;ROUND(TARGET+0.0003,3),1,IF(ROUND(IRR,4)&lt;ROUND(TARGET-0.0005,3),-1,0))</f>
        <v>1</v>
      </c>
      <c r="AA10" s="65"/>
      <c r="AC10" s="29" t="s">
        <v>33</v>
      </c>
      <c r="AD10" s="30"/>
      <c r="AE10" s="52" t="n">
        <v>554.281671054531</v>
      </c>
      <c r="AF10" s="52" t="n">
        <f aca="false">R25</f>
        <v>0</v>
      </c>
      <c r="AG10" s="53" t="n">
        <f aca="false">AF10-EST_FIN</f>
        <v>0</v>
      </c>
    </row>
    <row r="11" customFormat="false" ht="12.75" hidden="false" customHeight="false" outlineLevel="0" collapsed="false">
      <c r="A11" s="29" t="s">
        <v>34</v>
      </c>
      <c r="B11" s="66"/>
      <c r="C11" s="66"/>
      <c r="D11" s="67" t="n">
        <v>1</v>
      </c>
      <c r="E11" s="34"/>
      <c r="M11" s="29" t="s">
        <v>35</v>
      </c>
      <c r="N11" s="30"/>
      <c r="O11" s="61"/>
      <c r="P11" s="45"/>
      <c r="Q11" s="30"/>
      <c r="R11" s="62" t="n">
        <v>0</v>
      </c>
      <c r="T11" s="38"/>
      <c r="U11" s="30"/>
      <c r="V11" s="30"/>
      <c r="W11" s="30"/>
      <c r="X11" s="39"/>
      <c r="AC11" s="29" t="s">
        <v>36</v>
      </c>
      <c r="AD11" s="30"/>
      <c r="AE11" s="52" t="n">
        <v>0</v>
      </c>
      <c r="AF11" s="52" t="e">
        <f aca="false">TAXES_FEES!B31</f>
        <v>#DIV/0!</v>
      </c>
      <c r="AG11" s="53" t="e">
        <f aca="false">AF11-EST_COMMITT</f>
        <v>#DIV/0!</v>
      </c>
    </row>
    <row r="12" customFormat="false" ht="12.75" hidden="false" customHeight="false" outlineLevel="0" collapsed="false">
      <c r="A12" s="57" t="s">
        <v>37</v>
      </c>
      <c r="B12" s="58"/>
      <c r="C12" s="58"/>
      <c r="D12" s="68" t="n">
        <v>0.03</v>
      </c>
      <c r="E12" s="60"/>
      <c r="G12" s="13" t="s">
        <v>38</v>
      </c>
      <c r="H12" s="15"/>
      <c r="I12" s="15"/>
      <c r="J12" s="15"/>
      <c r="K12" s="17"/>
      <c r="M12" s="69" t="s">
        <v>39</v>
      </c>
      <c r="N12" s="70"/>
      <c r="O12" s="70"/>
      <c r="P12" s="70"/>
      <c r="Q12" s="70"/>
      <c r="R12" s="71" t="n">
        <f aca="false">SUM(R9:R11)</f>
        <v>0</v>
      </c>
      <c r="T12" s="38" t="s">
        <v>40</v>
      </c>
      <c r="U12" s="30"/>
      <c r="V12" s="72" t="n">
        <f aca="false">DISC</f>
        <v>0.1</v>
      </c>
      <c r="W12" s="72" t="n">
        <f aca="false">RETURNS!D28</f>
        <v>0.209858597198111</v>
      </c>
      <c r="X12" s="73" t="n">
        <f aca="false">RETURNS!D27</f>
        <v>2444.18244928625</v>
      </c>
      <c r="AC12" s="29" t="s">
        <v>41</v>
      </c>
      <c r="AD12" s="30"/>
      <c r="AE12" s="52" t="n">
        <v>2558.21377536661</v>
      </c>
      <c r="AF12" s="52" t="n">
        <f aca="false">COST*P36</f>
        <v>390</v>
      </c>
      <c r="AG12" s="53" t="n">
        <f aca="false">AF12-EST_DEV</f>
        <v>-2168.21377536661</v>
      </c>
    </row>
    <row r="13" customFormat="false" ht="12.75" hidden="false" customHeight="false" outlineLevel="0" collapsed="false">
      <c r="G13" s="29" t="s">
        <v>42</v>
      </c>
      <c r="H13" s="30"/>
      <c r="I13" s="31"/>
      <c r="J13" s="0"/>
      <c r="K13" s="34"/>
      <c r="M13" s="29" t="s">
        <v>43</v>
      </c>
      <c r="N13" s="30"/>
      <c r="O13" s="44"/>
      <c r="P13" s="30"/>
      <c r="Q13" s="30"/>
      <c r="R13" s="74" t="n">
        <f aca="false">O13*(1+CPI)^($R$8-$O$8)</f>
        <v>0</v>
      </c>
      <c r="T13" s="38" t="s">
        <v>44</v>
      </c>
      <c r="U13" s="30"/>
      <c r="V13" s="72"/>
      <c r="W13" s="72"/>
      <c r="X13" s="73" t="n">
        <f aca="false">SUM(X12)</f>
        <v>2444.18244928625</v>
      </c>
      <c r="AC13" s="29" t="s">
        <v>45</v>
      </c>
      <c r="AD13" s="30"/>
      <c r="AE13" s="52" t="n">
        <v>85273.7925122203</v>
      </c>
      <c r="AF13" s="52" t="n">
        <f aca="false">COST</f>
        <v>13000</v>
      </c>
      <c r="AG13" s="53" t="n">
        <f aca="false">AF13-EST_COST</f>
        <v>-72273.7925122203</v>
      </c>
    </row>
    <row r="14" customFormat="false" ht="12.75" hidden="false" customHeight="false" outlineLevel="0" collapsed="false">
      <c r="A14" s="13" t="s">
        <v>46</v>
      </c>
      <c r="B14" s="15"/>
      <c r="C14" s="15"/>
      <c r="D14" s="15"/>
      <c r="E14" s="17"/>
      <c r="G14" s="29" t="s">
        <v>47</v>
      </c>
      <c r="H14" s="30"/>
      <c r="I14" s="43" t="n">
        <v>0.05</v>
      </c>
      <c r="J14" s="0"/>
      <c r="K14" s="34"/>
      <c r="M14" s="69" t="s">
        <v>48</v>
      </c>
      <c r="N14" s="70"/>
      <c r="O14" s="70"/>
      <c r="P14" s="70"/>
      <c r="Q14" s="70"/>
      <c r="R14" s="71" t="n">
        <f aca="false">SUM(R13)</f>
        <v>0</v>
      </c>
      <c r="T14" s="38"/>
      <c r="U14" s="30"/>
      <c r="V14" s="72"/>
      <c r="W14" s="72"/>
      <c r="X14" s="73"/>
      <c r="AC14" s="29" t="str">
        <f aca="false">T30</f>
        <v>   Tranche 1:</v>
      </c>
      <c r="AD14" s="30"/>
      <c r="AE14" s="52" t="n">
        <v>55427.9651329432</v>
      </c>
      <c r="AF14" s="52" t="n">
        <f aca="false">X31</f>
        <v>0</v>
      </c>
      <c r="AG14" s="75" t="n">
        <f aca="false">AF14-EST_D1</f>
        <v>-55427.9651329432</v>
      </c>
    </row>
    <row r="15" customFormat="false" ht="12.75" hidden="false" customHeight="false" outlineLevel="0" collapsed="false">
      <c r="A15" s="29" t="s">
        <v>49</v>
      </c>
      <c r="B15" s="30"/>
      <c r="C15" s="30"/>
      <c r="D15" s="76" t="e">
        <f aca="false">DATE(E15-1900,12,1)</f>
        <v>#VALUE!</v>
      </c>
      <c r="E15" s="77" t="n">
        <v>2000</v>
      </c>
      <c r="G15" s="57" t="s">
        <v>50</v>
      </c>
      <c r="H15" s="58"/>
      <c r="I15" s="59" t="n">
        <v>0.35</v>
      </c>
      <c r="J15" s="58"/>
      <c r="K15" s="60"/>
      <c r="M15" s="29" t="s">
        <v>51</v>
      </c>
      <c r="N15" s="30"/>
      <c r="O15" s="44"/>
      <c r="P15" s="30"/>
      <c r="Q15" s="30"/>
      <c r="R15" s="46" t="n">
        <f aca="false">O15*(1+CPI)^($R$8-$O$8)</f>
        <v>0</v>
      </c>
      <c r="T15" s="38" t="s">
        <v>52</v>
      </c>
      <c r="U15" s="30"/>
      <c r="V15" s="72"/>
      <c r="W15" s="72"/>
      <c r="X15" s="73" t="e">
        <f aca="false">-#REF!-RETURNS!P35-RETURNS!P47</f>
        <v>#REF!</v>
      </c>
      <c r="AC15" s="29" t="str">
        <f aca="false">T38</f>
        <v>   Tranche 2:</v>
      </c>
      <c r="AD15" s="30"/>
      <c r="AE15" s="52" t="n">
        <v>0</v>
      </c>
      <c r="AF15" s="52" t="n">
        <f aca="false">X39</f>
        <v>0</v>
      </c>
      <c r="AG15" s="75" t="n">
        <f aca="false">AF15-EST_EXIM</f>
        <v>0</v>
      </c>
    </row>
    <row r="16" customFormat="false" ht="12.75" hidden="false" customHeight="false" outlineLevel="0" collapsed="false">
      <c r="A16" s="29" t="s">
        <v>53</v>
      </c>
      <c r="B16" s="30"/>
      <c r="C16" s="30"/>
      <c r="D16" s="30"/>
      <c r="E16" s="77" t="n">
        <v>6</v>
      </c>
      <c r="M16" s="29" t="s">
        <v>54</v>
      </c>
      <c r="N16" s="30"/>
      <c r="O16" s="61"/>
      <c r="P16" s="30"/>
      <c r="Q16" s="30"/>
      <c r="R16" s="62" t="n">
        <v>13000</v>
      </c>
      <c r="T16" s="38" t="s">
        <v>55</v>
      </c>
      <c r="U16" s="30"/>
      <c r="V16" s="72"/>
      <c r="W16" s="72"/>
      <c r="X16" s="73" t="e">
        <f aca="false">-#REF!</f>
        <v>#REF!</v>
      </c>
      <c r="AC16" s="29" t="str">
        <f aca="false">T46</f>
        <v>   Tranche 3: Other</v>
      </c>
      <c r="AD16" s="30"/>
      <c r="AE16" s="52" t="n">
        <v>0</v>
      </c>
      <c r="AF16" s="52" t="n">
        <f aca="false">X47</f>
        <v>0</v>
      </c>
      <c r="AG16" s="75" t="n">
        <f aca="false">AF16-EST_D3</f>
        <v>0</v>
      </c>
    </row>
    <row r="17" customFormat="false" ht="12.75" hidden="false" customHeight="false" outlineLevel="0" collapsed="false">
      <c r="A17" s="29" t="s">
        <v>56</v>
      </c>
      <c r="B17" s="30"/>
      <c r="C17" s="30"/>
      <c r="D17" s="31" t="n">
        <v>6</v>
      </c>
      <c r="E17" s="77" t="n">
        <v>2001</v>
      </c>
      <c r="G17" s="13" t="s">
        <v>57</v>
      </c>
      <c r="H17" s="15"/>
      <c r="I17" s="78" t="s">
        <v>58</v>
      </c>
      <c r="J17" s="78" t="s">
        <v>59</v>
      </c>
      <c r="K17" s="79" t="s">
        <v>60</v>
      </c>
      <c r="M17" s="29" t="s">
        <v>61</v>
      </c>
      <c r="N17" s="30"/>
      <c r="O17" s="44"/>
      <c r="P17" s="30"/>
      <c r="Q17" s="30"/>
      <c r="R17" s="74" t="n">
        <f aca="false">O17*(1+CPI)^($R$8-$O$8)</f>
        <v>0</v>
      </c>
      <c r="T17" s="38" t="s">
        <v>62</v>
      </c>
      <c r="U17" s="30"/>
      <c r="V17" s="72"/>
      <c r="W17" s="72"/>
      <c r="X17" s="80" t="e">
        <f aca="false">-#REF!</f>
        <v>#REF!</v>
      </c>
      <c r="AC17" s="29" t="str">
        <f aca="false">T54</f>
        <v>   Tranche 4: Other</v>
      </c>
      <c r="AD17" s="30"/>
      <c r="AE17" s="52" t="n">
        <v>0</v>
      </c>
      <c r="AF17" s="52" t="n">
        <f aca="false">X55</f>
        <v>0</v>
      </c>
      <c r="AG17" s="75" t="n">
        <f aca="false">AF17-EST_D4</f>
        <v>0</v>
      </c>
    </row>
    <row r="18" customFormat="false" ht="12.75" hidden="false" customHeight="false" outlineLevel="0" collapsed="false">
      <c r="A18" s="29" t="s">
        <v>63</v>
      </c>
      <c r="B18" s="30"/>
      <c r="C18" s="30"/>
      <c r="D18" s="30"/>
      <c r="E18" s="77" t="s">
        <v>64</v>
      </c>
      <c r="G18" s="29"/>
      <c r="H18" s="30"/>
      <c r="I18" s="30"/>
      <c r="J18" s="30"/>
      <c r="K18" s="34"/>
      <c r="M18" s="69" t="s">
        <v>65</v>
      </c>
      <c r="N18" s="70"/>
      <c r="O18" s="70"/>
      <c r="P18" s="70"/>
      <c r="Q18" s="70"/>
      <c r="R18" s="71" t="n">
        <f aca="false">SUM(R15:R17)</f>
        <v>13000</v>
      </c>
      <c r="T18" s="38" t="s">
        <v>66</v>
      </c>
      <c r="U18" s="30"/>
      <c r="V18" s="72"/>
      <c r="W18" s="72"/>
      <c r="X18" s="73" t="e">
        <f aca="false">SUM(X15:X17)</f>
        <v>#REF!</v>
      </c>
      <c r="AC18" s="29" t="str">
        <f aca="false">T62</f>
        <v>   Tranche 5: Other</v>
      </c>
      <c r="AD18" s="30"/>
      <c r="AE18" s="52" t="n">
        <v>0</v>
      </c>
      <c r="AF18" s="52" t="n">
        <f aca="false">X63</f>
        <v>0</v>
      </c>
      <c r="AG18" s="75" t="n">
        <f aca="false">AF18-EST_D5</f>
        <v>0</v>
      </c>
    </row>
    <row r="19" customFormat="false" ht="12.75" hidden="false" customHeight="false" outlineLevel="0" collapsed="false">
      <c r="A19" s="57" t="s">
        <v>67</v>
      </c>
      <c r="B19" s="58"/>
      <c r="C19" s="58"/>
      <c r="D19" s="58"/>
      <c r="E19" s="81" t="s">
        <v>68</v>
      </c>
      <c r="G19" s="29" t="s">
        <v>69</v>
      </c>
      <c r="H19" s="30" t="s">
        <v>70</v>
      </c>
      <c r="I19" s="55" t="n">
        <v>13000</v>
      </c>
      <c r="J19" s="31" t="n">
        <v>20</v>
      </c>
      <c r="K19" s="82" t="s">
        <v>71</v>
      </c>
      <c r="M19" s="29" t="s">
        <v>72</v>
      </c>
      <c r="N19" s="30"/>
      <c r="O19" s="44"/>
      <c r="P19" s="45"/>
      <c r="Q19" s="30"/>
      <c r="R19" s="46" t="n">
        <f aca="false">O19*(1+CPI)^($R$8-$O$8)</f>
        <v>0</v>
      </c>
      <c r="T19" s="38"/>
      <c r="U19" s="30"/>
      <c r="V19" s="72"/>
      <c r="W19" s="72"/>
      <c r="X19" s="73"/>
      <c r="AC19" s="57" t="str">
        <f aca="false">T70</f>
        <v>   Tranche 6: Other</v>
      </c>
      <c r="AD19" s="58"/>
      <c r="AE19" s="83" t="n">
        <v>0</v>
      </c>
      <c r="AF19" s="83" t="n">
        <f aca="false">X71</f>
        <v>0</v>
      </c>
      <c r="AG19" s="84" t="n">
        <f aca="false">AF19-EST_D6</f>
        <v>0</v>
      </c>
    </row>
    <row r="20" customFormat="false" ht="12.75" hidden="false" customHeight="false" outlineLevel="0" collapsed="false">
      <c r="B20" s="85" t="n">
        <f aca="false">W12</f>
        <v>0.209858597198111</v>
      </c>
      <c r="C20" s="86" t="n">
        <f aca="false">E20+0.01</f>
        <v>32.38</v>
      </c>
      <c r="D20" s="86" t="n">
        <f aca="false">E20-0.01</f>
        <v>32.36</v>
      </c>
      <c r="E20" s="87" t="n">
        <v>32.37</v>
      </c>
      <c r="G20" s="88"/>
      <c r="H20" s="61"/>
      <c r="I20" s="61"/>
      <c r="J20" s="61"/>
      <c r="K20" s="89"/>
      <c r="M20" s="29" t="s">
        <v>73</v>
      </c>
      <c r="N20" s="30"/>
      <c r="O20" s="70"/>
      <c r="P20" s="45"/>
      <c r="Q20" s="30"/>
      <c r="R20" s="62" t="n">
        <v>0</v>
      </c>
      <c r="T20" s="38" t="s">
        <v>74</v>
      </c>
      <c r="U20" s="30"/>
      <c r="V20" s="72"/>
      <c r="W20" s="72"/>
      <c r="X20" s="73" t="e">
        <f aca="false">X13+X18</f>
        <v>#REF!</v>
      </c>
    </row>
    <row r="21" customFormat="false" ht="13.5" hidden="false" customHeight="false" outlineLevel="0" collapsed="false">
      <c r="A21" s="13" t="s">
        <v>75</v>
      </c>
      <c r="B21" s="15"/>
      <c r="C21" s="78" t="n">
        <v>2000</v>
      </c>
      <c r="D21" s="15"/>
      <c r="E21" s="37" t="s">
        <v>76</v>
      </c>
      <c r="G21" s="88" t="s">
        <v>77</v>
      </c>
      <c r="H21" s="30" t="s">
        <v>70</v>
      </c>
      <c r="I21" s="55" t="n">
        <v>13000</v>
      </c>
      <c r="J21" s="31" t="n">
        <v>28.5</v>
      </c>
      <c r="K21" s="89" t="s">
        <v>78</v>
      </c>
      <c r="M21" s="29" t="s">
        <v>79</v>
      </c>
      <c r="N21" s="30"/>
      <c r="O21" s="44"/>
      <c r="P21" s="30"/>
      <c r="Q21" s="30"/>
      <c r="R21" s="74" t="n">
        <f aca="false">O21*(1+CPI)^($R$8-$O$8)</f>
        <v>0</v>
      </c>
      <c r="T21" s="90" t="s">
        <v>80</v>
      </c>
      <c r="U21" s="91"/>
      <c r="V21" s="92"/>
      <c r="W21" s="92"/>
      <c r="X21" s="93" t="e">
        <f aca="false">X20-X9</f>
        <v>#REF!</v>
      </c>
    </row>
    <row r="22" customFormat="false" ht="13.5" hidden="false" customHeight="false" outlineLevel="0" collapsed="false">
      <c r="A22" s="29" t="s">
        <v>81</v>
      </c>
      <c r="B22" s="30"/>
      <c r="C22" s="94" t="s">
        <v>82</v>
      </c>
      <c r="D22" s="30"/>
      <c r="G22" s="88"/>
      <c r="H22" s="61"/>
      <c r="I22" s="95"/>
      <c r="J22" s="95"/>
      <c r="K22" s="89"/>
      <c r="M22" s="69" t="s">
        <v>83</v>
      </c>
      <c r="N22" s="70"/>
      <c r="O22" s="70"/>
      <c r="P22" s="70"/>
      <c r="Q22" s="70"/>
      <c r="R22" s="71" t="n">
        <f aca="false">SUM(R19:R21)</f>
        <v>0</v>
      </c>
      <c r="AB22" s="96"/>
      <c r="AC22" s="96"/>
      <c r="AD22" s="30"/>
      <c r="AE22" s="30"/>
      <c r="AF22" s="30"/>
      <c r="AI22" s="97" t="s">
        <v>84</v>
      </c>
      <c r="AJ22" s="97"/>
    </row>
    <row r="23" customFormat="false" ht="13.5" hidden="false" customHeight="false" outlineLevel="0" collapsed="false">
      <c r="A23" s="29" t="s">
        <v>85</v>
      </c>
      <c r="B23" s="30"/>
      <c r="C23" s="94" t="s">
        <v>82</v>
      </c>
      <c r="D23" s="30"/>
      <c r="E23" s="34"/>
      <c r="G23" s="98" t="s">
        <v>86</v>
      </c>
      <c r="H23" s="58" t="s">
        <v>70</v>
      </c>
      <c r="I23" s="99" t="n">
        <v>13000</v>
      </c>
      <c r="J23" s="100" t="n">
        <v>28.5</v>
      </c>
      <c r="K23" s="101" t="s">
        <v>78</v>
      </c>
      <c r="M23" s="29" t="s">
        <v>87</v>
      </c>
      <c r="N23" s="30"/>
      <c r="O23" s="30"/>
      <c r="P23" s="30"/>
      <c r="Q23" s="30"/>
      <c r="R23" s="46"/>
      <c r="T23" s="20" t="s">
        <v>88</v>
      </c>
      <c r="U23" s="22" t="s">
        <v>89</v>
      </c>
      <c r="V23" s="22" t="s">
        <v>90</v>
      </c>
      <c r="W23" s="22" t="s">
        <v>90</v>
      </c>
      <c r="X23" s="102"/>
      <c r="AB23" s="49"/>
      <c r="AC23" s="103"/>
      <c r="AD23" s="104"/>
      <c r="AE23" s="105"/>
      <c r="AF23" s="30"/>
      <c r="AI23" s="106" t="e">
        <f aca="false">IF(ABS(SUM(AG8:AG19))&lt;0.05,0,1)</f>
        <v>#REF!</v>
      </c>
      <c r="AJ23" s="106"/>
    </row>
    <row r="24" customFormat="false" ht="12.75" hidden="false" customHeight="false" outlineLevel="0" collapsed="false">
      <c r="A24" s="29" t="s">
        <v>91</v>
      </c>
      <c r="B24" s="30"/>
      <c r="C24" s="94" t="s">
        <v>82</v>
      </c>
      <c r="D24" s="30"/>
      <c r="E24" s="34"/>
      <c r="M24" s="29" t="s">
        <v>92</v>
      </c>
      <c r="N24" s="30"/>
      <c r="O24" s="30"/>
      <c r="P24" s="30"/>
      <c r="Q24" s="30"/>
      <c r="R24" s="46" t="n">
        <f aca="false">AE9</f>
        <v>0</v>
      </c>
      <c r="T24" s="38" t="s">
        <v>93</v>
      </c>
      <c r="U24" s="107" t="n">
        <f aca="false">MIN(CF!D71:F71)</f>
        <v>0</v>
      </c>
      <c r="V24" s="107" t="n">
        <f aca="false">MIN(CF!D72:F72)</f>
        <v>0</v>
      </c>
      <c r="W24" s="108"/>
      <c r="X24" s="39" t="s">
        <v>94</v>
      </c>
      <c r="Y24" s="85" t="e">
        <f aca="false">X31/DEBT</f>
        <v>#DIV/0!</v>
      </c>
      <c r="AB24" s="49"/>
      <c r="AC24" s="103"/>
      <c r="AD24" s="104"/>
      <c r="AE24" s="105"/>
      <c r="AF24" s="30"/>
    </row>
    <row r="25" customFormat="false" ht="13.5" hidden="false" customHeight="false" outlineLevel="0" collapsed="false">
      <c r="A25" s="109" t="s">
        <v>95</v>
      </c>
      <c r="B25" s="30"/>
      <c r="C25" s="105"/>
      <c r="D25" s="30"/>
      <c r="G25" s="13" t="s">
        <v>96</v>
      </c>
      <c r="H25" s="15"/>
      <c r="I25" s="110" t="s">
        <v>97</v>
      </c>
      <c r="J25" s="110" t="s">
        <v>98</v>
      </c>
      <c r="K25" s="111" t="s">
        <v>99</v>
      </c>
      <c r="M25" s="29" t="s">
        <v>100</v>
      </c>
      <c r="N25" s="30"/>
      <c r="O25" s="0"/>
      <c r="P25" s="0"/>
      <c r="Q25" s="30"/>
      <c r="R25" s="46" t="n">
        <f aca="false">((+X36*EST_D1)+(X44*EST_EXIM)+(X52*EST_D3)+(X60*EST_D4)+(X68*EST_D5)+(X76*EST_D6))</f>
        <v>0</v>
      </c>
      <c r="T25" s="90" t="s">
        <v>101</v>
      </c>
      <c r="U25" s="112" t="n">
        <f aca="false">AVERAGE(CF!D71:F71)</f>
        <v>0</v>
      </c>
      <c r="V25" s="112" t="n">
        <f aca="false">AVERAGE(CF!D72:F72)</f>
        <v>0</v>
      </c>
      <c r="W25" s="113"/>
      <c r="X25" s="114" t="s">
        <v>94</v>
      </c>
      <c r="AB25" s="49"/>
      <c r="AC25" s="103"/>
      <c r="AD25" s="104"/>
      <c r="AE25" s="105"/>
      <c r="AF25" s="30"/>
    </row>
    <row r="26" customFormat="false" ht="12.75" hidden="false" customHeight="false" outlineLevel="0" collapsed="false">
      <c r="A26" s="29" t="s">
        <v>102</v>
      </c>
      <c r="B26" s="30"/>
      <c r="C26" s="115"/>
      <c r="D26" s="116" t="s">
        <v>103</v>
      </c>
      <c r="E26" s="117" t="n">
        <v>0.02</v>
      </c>
      <c r="G26" s="29" t="s">
        <v>104</v>
      </c>
      <c r="H26" s="30"/>
      <c r="I26" s="43" t="n">
        <v>1</v>
      </c>
      <c r="J26" s="43" t="n">
        <v>1</v>
      </c>
      <c r="K26" s="118" t="n">
        <f aca="false">I26*EQUITY</f>
        <v>13000</v>
      </c>
      <c r="M26" s="29" t="s">
        <v>105</v>
      </c>
      <c r="N26" s="30"/>
      <c r="O26" s="30"/>
      <c r="P26" s="30"/>
      <c r="Q26" s="30"/>
      <c r="R26" s="62" t="n">
        <v>0</v>
      </c>
      <c r="AB26" s="49"/>
      <c r="AC26" s="103"/>
      <c r="AD26" s="104"/>
      <c r="AE26" s="105"/>
      <c r="AF26" s="30"/>
    </row>
    <row r="27" customFormat="false" ht="12.75" hidden="false" customHeight="false" outlineLevel="0" collapsed="false">
      <c r="A27" s="119" t="s">
        <v>106</v>
      </c>
      <c r="B27" s="30"/>
      <c r="C27" s="30"/>
      <c r="D27" s="30"/>
      <c r="E27" s="34"/>
      <c r="G27" s="57" t="s">
        <v>107</v>
      </c>
      <c r="H27" s="58"/>
      <c r="I27" s="120" t="n">
        <f aca="false">SUM(I26)</f>
        <v>1</v>
      </c>
      <c r="J27" s="120" t="n">
        <f aca="false">SUM(J26)</f>
        <v>1</v>
      </c>
      <c r="K27" s="121" t="n">
        <f aca="false">SUM(K26)</f>
        <v>13000</v>
      </c>
      <c r="M27" s="29" t="s">
        <v>108</v>
      </c>
      <c r="N27" s="30"/>
      <c r="O27" s="30"/>
      <c r="P27" s="30"/>
      <c r="Q27" s="30"/>
      <c r="R27" s="46" t="n">
        <f aca="false">EST_COMMITT</f>
        <v>0</v>
      </c>
      <c r="T27" s="13" t="s">
        <v>109</v>
      </c>
      <c r="U27" s="15"/>
      <c r="V27" s="15"/>
      <c r="W27" s="15"/>
      <c r="X27" s="17"/>
      <c r="AB27" s="49"/>
      <c r="AC27" s="103"/>
      <c r="AD27" s="105"/>
      <c r="AE27" s="105"/>
      <c r="AF27" s="30"/>
    </row>
    <row r="28" customFormat="false" ht="12.75" hidden="false" customHeight="false" outlineLevel="0" collapsed="false">
      <c r="A28" s="109" t="s">
        <v>110</v>
      </c>
      <c r="B28" s="30"/>
      <c r="C28" s="30"/>
      <c r="D28" s="30"/>
      <c r="E28" s="34"/>
      <c r="K28" s="5" t="str">
        <f aca="false">IF(ABS(K27-EQUITY)&gt;0.01,"CHECK"," ")</f>
        <v> </v>
      </c>
      <c r="M28" s="29" t="s">
        <v>111</v>
      </c>
      <c r="N28" s="30"/>
      <c r="O28" s="30"/>
      <c r="P28" s="30"/>
      <c r="Q28" s="30"/>
      <c r="R28" s="62" t="n">
        <v>0</v>
      </c>
      <c r="T28" s="122" t="s">
        <v>112</v>
      </c>
      <c r="U28" s="123" t="e">
        <f aca="false">(($X$47*U51)+($X$39*U43)+($X$31*U35)+($X$55*U59)+($X$63*U67)+($X$71*U75))/($X$31+$X$39+$X$47+$X$55+$X$71+$X$63)</f>
        <v>#DIV/0!</v>
      </c>
      <c r="V28" s="123" t="e">
        <f aca="false">(($X$47*V51)+($X$39*V43)+($X$31*V35)+($X$55*V59)+($X$63*V67)+($X$71*V75))/($X$31+$X$39+$X$47+$X$55+$X$63+$X$71)</f>
        <v>#DIV/0!</v>
      </c>
      <c r="W28" s="30"/>
      <c r="X28" s="124" t="e">
        <f aca="false">(($X$47*X51)+($X$39*X43)+($X$31*X35)+($X$55*X59)+($X$63*X67)+($X$71*X75))/($X$31+$X$39+$X$47+$X$55+$X$63+$X$71)</f>
        <v>#DIV/0!</v>
      </c>
      <c r="AB28" s="30"/>
      <c r="AC28" s="105"/>
      <c r="AD28" s="105"/>
      <c r="AE28" s="105"/>
      <c r="AF28" s="30"/>
    </row>
    <row r="29" customFormat="false" ht="12.75" hidden="false" customHeight="false" outlineLevel="0" collapsed="false">
      <c r="A29" s="29" t="s">
        <v>113</v>
      </c>
      <c r="B29" s="30"/>
      <c r="C29" s="125" t="n">
        <f aca="false">SUM(C56:C60)/(8760*avail*dispatch*capacity)</f>
        <v>0</v>
      </c>
      <c r="D29" s="30" t="s">
        <v>114</v>
      </c>
      <c r="E29" s="117" t="n">
        <v>0.02</v>
      </c>
      <c r="M29" s="29" t="s">
        <v>115</v>
      </c>
      <c r="N29" s="30"/>
      <c r="O29" s="30"/>
      <c r="P29" s="30"/>
      <c r="Q29" s="30"/>
      <c r="R29" s="62" t="n">
        <v>0</v>
      </c>
      <c r="T29" s="29"/>
      <c r="U29" s="126" t="s">
        <v>116</v>
      </c>
      <c r="V29" s="126" t="s">
        <v>117</v>
      </c>
      <c r="W29" s="30"/>
      <c r="X29" s="34"/>
      <c r="AC29" s="0"/>
      <c r="AD29" s="0"/>
      <c r="AE29" s="0"/>
    </row>
    <row r="30" customFormat="false" ht="12.75" hidden="false" customHeight="false" outlineLevel="0" collapsed="false">
      <c r="A30" s="29" t="s">
        <v>118</v>
      </c>
      <c r="B30" s="30"/>
      <c r="C30" s="125" t="n">
        <v>0</v>
      </c>
      <c r="D30" s="30" t="s">
        <v>114</v>
      </c>
      <c r="E30" s="117" t="n">
        <v>0.02</v>
      </c>
      <c r="M30" s="29" t="s">
        <v>119</v>
      </c>
      <c r="N30" s="30"/>
      <c r="O30" s="30"/>
      <c r="P30" s="30"/>
      <c r="Q30" s="30"/>
      <c r="R30" s="62" t="n">
        <v>0</v>
      </c>
      <c r="T30" s="29" t="s">
        <v>120</v>
      </c>
      <c r="U30" s="30"/>
      <c r="V30" s="30"/>
      <c r="W30" s="127"/>
      <c r="X30" s="34" t="s">
        <v>121</v>
      </c>
      <c r="Y30" s="85" t="e">
        <f aca="false">X39/DEBT</f>
        <v>#DIV/0!</v>
      </c>
      <c r="AC30" s="0"/>
      <c r="AD30" s="0"/>
      <c r="AE30" s="0"/>
    </row>
    <row r="31" customFormat="false" ht="12.75" hidden="false" customHeight="false" outlineLevel="0" collapsed="false">
      <c r="A31" s="29" t="s">
        <v>122</v>
      </c>
      <c r="B31" s="30"/>
      <c r="C31" s="125" t="n">
        <v>0</v>
      </c>
      <c r="D31" s="30" t="s">
        <v>114</v>
      </c>
      <c r="E31" s="117" t="n">
        <v>0.02</v>
      </c>
      <c r="M31" s="29" t="s">
        <v>123</v>
      </c>
      <c r="N31" s="30"/>
      <c r="O31" s="30"/>
      <c r="P31" s="30"/>
      <c r="Q31" s="30"/>
      <c r="R31" s="62" t="n">
        <v>0</v>
      </c>
      <c r="T31" s="29" t="s">
        <v>124</v>
      </c>
      <c r="U31" s="30"/>
      <c r="V31" s="30"/>
      <c r="W31" s="128"/>
      <c r="X31" s="46" t="n">
        <f aca="false">DEBT*W31</f>
        <v>0</v>
      </c>
      <c r="AE31" s="85"/>
    </row>
    <row r="32" customFormat="false" ht="12.75" hidden="false" customHeight="false" outlineLevel="0" collapsed="false">
      <c r="A32" s="129" t="s">
        <v>125</v>
      </c>
      <c r="B32" s="130"/>
      <c r="C32" s="131"/>
      <c r="D32" s="132" t="s">
        <v>126</v>
      </c>
      <c r="E32" s="133"/>
      <c r="M32" s="29" t="s">
        <v>127</v>
      </c>
      <c r="N32" s="30"/>
      <c r="O32" s="30" t="s">
        <v>1</v>
      </c>
      <c r="P32" s="134"/>
      <c r="Q32" s="30"/>
      <c r="R32" s="62" t="n">
        <v>0</v>
      </c>
      <c r="T32" s="29" t="s">
        <v>128</v>
      </c>
      <c r="U32" s="30"/>
      <c r="V32" s="30"/>
      <c r="W32" s="135"/>
      <c r="X32" s="77"/>
    </row>
    <row r="33" customFormat="false" ht="12.75" hidden="false" customHeight="false" outlineLevel="0" collapsed="false">
      <c r="M33" s="29" t="s">
        <v>129</v>
      </c>
      <c r="N33" s="30"/>
      <c r="O33" s="30" t="s">
        <v>1</v>
      </c>
      <c r="P33" s="30"/>
      <c r="Q33" s="30"/>
      <c r="R33" s="62" t="n">
        <v>0</v>
      </c>
      <c r="T33" s="29" t="s">
        <v>130</v>
      </c>
      <c r="U33" s="30"/>
      <c r="V33" s="30"/>
      <c r="W33" s="136"/>
      <c r="X33" s="34" t="n">
        <f aca="false">IF(X31=0,0,ROUND(X32/2+(TERM_C/12)-0.5,1))</f>
        <v>0</v>
      </c>
    </row>
    <row r="34" customFormat="false" ht="12.75" hidden="false" customHeight="false" outlineLevel="0" collapsed="false">
      <c r="A34" s="13" t="s">
        <v>131</v>
      </c>
      <c r="B34" s="137"/>
      <c r="C34" s="137"/>
      <c r="D34" s="16" t="n">
        <f aca="false">D7</f>
        <v>2000</v>
      </c>
      <c r="E34" s="138"/>
      <c r="M34" s="29" t="s">
        <v>132</v>
      </c>
      <c r="N34" s="30"/>
      <c r="O34" s="139" t="s">
        <v>1</v>
      </c>
      <c r="P34" s="139"/>
      <c r="Q34" s="30"/>
      <c r="R34" s="140" t="n">
        <v>0</v>
      </c>
      <c r="T34" s="29" t="s">
        <v>133</v>
      </c>
      <c r="U34" s="30"/>
      <c r="V34" s="30"/>
      <c r="W34" s="141" t="s">
        <v>134</v>
      </c>
      <c r="X34" s="77" t="n">
        <v>0</v>
      </c>
    </row>
    <row r="35" customFormat="false" ht="12.75" hidden="false" customHeight="false" outlineLevel="0" collapsed="false">
      <c r="A35" s="88" t="s">
        <v>15</v>
      </c>
      <c r="B35" s="61"/>
      <c r="C35" s="142"/>
      <c r="D35" s="143" t="n">
        <v>500</v>
      </c>
      <c r="E35" s="32" t="s">
        <v>135</v>
      </c>
      <c r="M35" s="69" t="s">
        <v>136</v>
      </c>
      <c r="N35" s="70"/>
      <c r="O35" s="70"/>
      <c r="P35" s="70"/>
      <c r="Q35" s="70"/>
      <c r="R35" s="71" t="n">
        <f aca="false">SUM(R23:R34)</f>
        <v>0</v>
      </c>
      <c r="T35" s="29" t="s">
        <v>137</v>
      </c>
      <c r="U35" s="144"/>
      <c r="V35" s="145"/>
      <c r="W35" s="135"/>
      <c r="X35" s="146" t="n">
        <f aca="false">V35+U35</f>
        <v>0</v>
      </c>
      <c r="AC35" s="1" t="s">
        <v>1</v>
      </c>
      <c r="AE35" s="1" t="s">
        <v>1</v>
      </c>
    </row>
    <row r="36" customFormat="false" ht="12.75" hidden="false" customHeight="false" outlineLevel="0" collapsed="false">
      <c r="A36" s="88" t="s">
        <v>21</v>
      </c>
      <c r="B36" s="61"/>
      <c r="C36" s="147"/>
      <c r="D36" s="148"/>
      <c r="E36" s="149"/>
      <c r="M36" s="29" t="s">
        <v>138</v>
      </c>
      <c r="N36" s="30"/>
      <c r="O36" s="72"/>
      <c r="P36" s="43" t="n">
        <v>0.03</v>
      </c>
      <c r="Q36" s="30"/>
      <c r="R36" s="46"/>
      <c r="T36" s="29" t="s">
        <v>139</v>
      </c>
      <c r="U36" s="135"/>
      <c r="V36" s="135"/>
      <c r="W36" s="135"/>
      <c r="X36" s="117"/>
      <c r="Y36" s="85" t="e">
        <f aca="false">X47/DEBT</f>
        <v>#DIV/0!</v>
      </c>
    </row>
    <row r="37" customFormat="false" ht="12.75" hidden="false" customHeight="false" outlineLevel="0" collapsed="false">
      <c r="A37" s="57" t="s">
        <v>140</v>
      </c>
      <c r="B37" s="58"/>
      <c r="C37" s="58"/>
      <c r="D37" s="150"/>
      <c r="E37" s="151"/>
      <c r="M37" s="29" t="s">
        <v>141</v>
      </c>
      <c r="N37" s="30"/>
      <c r="O37" s="30"/>
      <c r="P37" s="72" t="s">
        <v>1</v>
      </c>
      <c r="Q37" s="30"/>
      <c r="R37" s="62" t="n">
        <v>0</v>
      </c>
      <c r="T37" s="29" t="s">
        <v>142</v>
      </c>
      <c r="U37" s="135"/>
      <c r="V37" s="135"/>
      <c r="W37" s="135"/>
      <c r="X37" s="117"/>
    </row>
    <row r="38" customFormat="false" ht="12.75" hidden="false" customHeight="false" outlineLevel="0" collapsed="false">
      <c r="M38" s="29" t="s">
        <v>143</v>
      </c>
      <c r="N38" s="30"/>
      <c r="O38" s="43" t="n">
        <v>0</v>
      </c>
      <c r="P38" s="30"/>
      <c r="Q38" s="30"/>
      <c r="R38" s="62" t="n">
        <v>0</v>
      </c>
      <c r="T38" s="88" t="s">
        <v>144</v>
      </c>
      <c r="U38" s="152"/>
      <c r="V38" s="152"/>
      <c r="W38" s="127"/>
      <c r="X38" s="149" t="s">
        <v>121</v>
      </c>
    </row>
    <row r="39" customFormat="false" ht="12.75" hidden="false" customHeight="false" outlineLevel="0" collapsed="false">
      <c r="A39" s="13" t="s">
        <v>145</v>
      </c>
      <c r="B39" s="15"/>
      <c r="C39" s="15"/>
      <c r="D39" s="153" t="s">
        <v>146</v>
      </c>
      <c r="E39" s="154" t="n">
        <v>0.02</v>
      </c>
      <c r="M39" s="29" t="s">
        <v>147</v>
      </c>
      <c r="N39" s="30"/>
      <c r="O39" s="30" t="s">
        <v>1</v>
      </c>
      <c r="P39" s="30"/>
      <c r="Q39" s="30"/>
      <c r="R39" s="62" t="n">
        <v>0</v>
      </c>
      <c r="T39" s="88" t="s">
        <v>148</v>
      </c>
      <c r="U39" s="155" t="s">
        <v>149</v>
      </c>
      <c r="V39" s="152"/>
      <c r="W39" s="128"/>
      <c r="X39" s="156" t="n">
        <f aca="false">DEBT*W39</f>
        <v>0</v>
      </c>
    </row>
    <row r="40" customFormat="false" ht="12.75" hidden="false" customHeight="false" outlineLevel="0" collapsed="false">
      <c r="A40" s="29"/>
      <c r="B40" s="30"/>
      <c r="C40" s="30"/>
      <c r="D40" s="30"/>
      <c r="E40" s="34"/>
      <c r="M40" s="29" t="s">
        <v>150</v>
      </c>
      <c r="N40" s="30"/>
      <c r="O40" s="30" t="s">
        <v>1</v>
      </c>
      <c r="P40" s="33" t="s">
        <v>1</v>
      </c>
      <c r="Q40" s="30"/>
      <c r="R40" s="140" t="n">
        <v>0</v>
      </c>
      <c r="T40" s="88" t="s">
        <v>128</v>
      </c>
      <c r="U40" s="152"/>
      <c r="V40" s="152"/>
      <c r="W40" s="152"/>
      <c r="X40" s="77"/>
    </row>
    <row r="41" customFormat="false" ht="12.75" hidden="false" customHeight="false" outlineLevel="0" collapsed="false">
      <c r="A41" s="157" t="s">
        <v>151</v>
      </c>
      <c r="B41" s="30"/>
      <c r="C41" s="36" t="n">
        <v>2000</v>
      </c>
      <c r="D41" s="30"/>
      <c r="E41" s="37" t="s">
        <v>76</v>
      </c>
      <c r="M41" s="69" t="s">
        <v>152</v>
      </c>
      <c r="N41" s="70"/>
      <c r="O41" s="70"/>
      <c r="P41" s="70"/>
      <c r="Q41" s="70"/>
      <c r="R41" s="71" t="n">
        <f aca="false">R36+R37+R38+R39+R40</f>
        <v>0</v>
      </c>
      <c r="T41" s="88" t="s">
        <v>130</v>
      </c>
      <c r="U41" s="152"/>
      <c r="V41" s="152"/>
      <c r="W41" s="158"/>
      <c r="X41" s="149" t="n">
        <f aca="false">IF(X39=0,0,ROUND(X40/2+(TERM_C/12)-0.5,1))</f>
        <v>0</v>
      </c>
    </row>
    <row r="42" customFormat="false" ht="12.75" hidden="false" customHeight="false" outlineLevel="0" collapsed="false">
      <c r="A42" s="29" t="s">
        <v>153</v>
      </c>
      <c r="B42" s="30"/>
      <c r="C42" s="159" t="n">
        <v>0</v>
      </c>
      <c r="D42" s="30"/>
      <c r="E42" s="117" t="n">
        <f aca="false">CPI</f>
        <v>0.02</v>
      </c>
      <c r="M42" s="29" t="s">
        <v>154</v>
      </c>
      <c r="N42" s="30"/>
      <c r="O42" s="30" t="s">
        <v>1</v>
      </c>
      <c r="P42" s="30"/>
      <c r="Q42" s="30"/>
      <c r="R42" s="62" t="n">
        <v>0</v>
      </c>
      <c r="T42" s="88" t="s">
        <v>133</v>
      </c>
      <c r="U42" s="152"/>
      <c r="V42" s="152"/>
      <c r="W42" s="141" t="s">
        <v>134</v>
      </c>
      <c r="X42" s="77"/>
      <c r="Y42" s="85" t="e">
        <f aca="false">X55/DEBT</f>
        <v>#DIV/0!</v>
      </c>
    </row>
    <row r="43" customFormat="false" ht="12.75" hidden="false" customHeight="false" outlineLevel="0" collapsed="false">
      <c r="A43" s="29" t="s">
        <v>155</v>
      </c>
      <c r="B43" s="30"/>
      <c r="C43" s="159" t="n">
        <v>0</v>
      </c>
      <c r="D43" s="30"/>
      <c r="E43" s="117" t="n">
        <f aca="false">CPI</f>
        <v>0.02</v>
      </c>
      <c r="M43" s="29" t="s">
        <v>156</v>
      </c>
      <c r="N43" s="30"/>
      <c r="O43" s="30" t="s">
        <v>1</v>
      </c>
      <c r="P43" s="30"/>
      <c r="Q43" s="30"/>
      <c r="R43" s="140" t="n">
        <v>0</v>
      </c>
      <c r="T43" s="88" t="s">
        <v>137</v>
      </c>
      <c r="U43" s="144"/>
      <c r="V43" s="160"/>
      <c r="W43" s="152"/>
      <c r="X43" s="161" t="n">
        <f aca="false">V43+U43</f>
        <v>0</v>
      </c>
    </row>
    <row r="44" customFormat="false" ht="12.75" hidden="false" customHeight="false" outlineLevel="0" collapsed="false">
      <c r="A44" s="29" t="s">
        <v>157</v>
      </c>
      <c r="B44" s="30"/>
      <c r="C44" s="159" t="n">
        <v>0</v>
      </c>
      <c r="D44" s="30"/>
      <c r="E44" s="117" t="n">
        <f aca="false">CPI</f>
        <v>0.02</v>
      </c>
      <c r="M44" s="69" t="s">
        <v>158</v>
      </c>
      <c r="N44" s="70"/>
      <c r="O44" s="70"/>
      <c r="P44" s="70"/>
      <c r="Q44" s="70"/>
      <c r="R44" s="71" t="n">
        <f aca="false">SUM(R42:R43)</f>
        <v>0</v>
      </c>
      <c r="T44" s="88" t="s">
        <v>139</v>
      </c>
      <c r="U44" s="152"/>
      <c r="V44" s="152"/>
      <c r="W44" s="152"/>
      <c r="X44" s="117"/>
    </row>
    <row r="45" customFormat="false" ht="12.75" hidden="false" customHeight="false" outlineLevel="0" collapsed="false">
      <c r="A45" s="29" t="s">
        <v>159</v>
      </c>
      <c r="B45" s="30"/>
      <c r="C45" s="159" t="n">
        <v>0</v>
      </c>
      <c r="D45" s="0"/>
      <c r="E45" s="117" t="n">
        <f aca="false">CPI</f>
        <v>0.02</v>
      </c>
      <c r="M45" s="29" t="s">
        <v>160</v>
      </c>
      <c r="N45" s="30"/>
      <c r="O45" s="30" t="s">
        <v>1</v>
      </c>
      <c r="P45" s="30"/>
      <c r="Q45" s="30"/>
      <c r="R45" s="62" t="n">
        <v>0</v>
      </c>
      <c r="T45" s="88" t="s">
        <v>142</v>
      </c>
      <c r="U45" s="152"/>
      <c r="V45" s="152"/>
      <c r="W45" s="152"/>
      <c r="X45" s="117"/>
      <c r="Z45" s="1" t="s">
        <v>1</v>
      </c>
    </row>
    <row r="46" customFormat="false" ht="12.75" hidden="false" customHeight="false" outlineLevel="0" collapsed="false">
      <c r="A46" s="29" t="s">
        <v>161</v>
      </c>
      <c r="B46" s="30"/>
      <c r="C46" s="159" t="n">
        <v>0</v>
      </c>
      <c r="D46" s="30"/>
      <c r="E46" s="117" t="n">
        <f aca="false">CPI</f>
        <v>0.02</v>
      </c>
      <c r="M46" s="29" t="s">
        <v>162</v>
      </c>
      <c r="N46" s="30"/>
      <c r="O46" s="162" t="n">
        <v>0</v>
      </c>
      <c r="P46" s="30"/>
      <c r="Q46" s="30"/>
      <c r="R46" s="46" t="n">
        <f aca="false">O46*(1+CPI)^($R$8-$O$8)</f>
        <v>0</v>
      </c>
      <c r="T46" s="88" t="s">
        <v>163</v>
      </c>
      <c r="U46" s="152"/>
      <c r="V46" s="152"/>
      <c r="W46" s="127"/>
      <c r="X46" s="149" t="s">
        <v>121</v>
      </c>
    </row>
    <row r="47" customFormat="false" ht="12.75" hidden="false" customHeight="false" outlineLevel="0" collapsed="false">
      <c r="A47" s="29" t="s">
        <v>164</v>
      </c>
      <c r="B47" s="30"/>
      <c r="C47" s="159" t="n">
        <v>0</v>
      </c>
      <c r="D47" s="0"/>
      <c r="E47" s="117" t="n">
        <f aca="false">CPI</f>
        <v>0.02</v>
      </c>
      <c r="M47" s="69" t="s">
        <v>165</v>
      </c>
      <c r="N47" s="70"/>
      <c r="O47" s="70"/>
      <c r="P47" s="70"/>
      <c r="Q47" s="70"/>
      <c r="R47" s="71" t="n">
        <f aca="false">SUM(R45:R46)</f>
        <v>0</v>
      </c>
      <c r="T47" s="88" t="s">
        <v>124</v>
      </c>
      <c r="U47" s="152"/>
      <c r="V47" s="152"/>
      <c r="W47" s="128"/>
      <c r="X47" s="156" t="n">
        <f aca="false">DEBT*W47</f>
        <v>0</v>
      </c>
    </row>
    <row r="48" customFormat="false" ht="12.75" hidden="false" customHeight="false" outlineLevel="0" collapsed="false">
      <c r="A48" s="29" t="s">
        <v>166</v>
      </c>
      <c r="B48" s="30"/>
      <c r="C48" s="159" t="n">
        <v>0</v>
      </c>
      <c r="D48" s="30"/>
      <c r="E48" s="117" t="n">
        <f aca="false">CPI</f>
        <v>0.02</v>
      </c>
      <c r="M48" s="29" t="s">
        <v>167</v>
      </c>
      <c r="N48" s="30"/>
      <c r="O48" s="30"/>
      <c r="P48" s="163" t="n">
        <v>776012.569529602</v>
      </c>
      <c r="Q48" s="30"/>
      <c r="R48" s="62" t="n">
        <v>0</v>
      </c>
      <c r="T48" s="88" t="s">
        <v>128</v>
      </c>
      <c r="U48" s="152"/>
      <c r="V48" s="152"/>
      <c r="W48" s="152"/>
      <c r="X48" s="77"/>
      <c r="Y48" s="85" t="e">
        <f aca="false">X63/DEBT</f>
        <v>#DIV/0!</v>
      </c>
    </row>
    <row r="49" customFormat="false" ht="12.75" hidden="false" customHeight="false" outlineLevel="0" collapsed="false">
      <c r="A49" s="29" t="s">
        <v>168</v>
      </c>
      <c r="B49" s="30"/>
      <c r="C49" s="159" t="n">
        <v>0</v>
      </c>
      <c r="D49" s="30"/>
      <c r="E49" s="117" t="n">
        <f aca="false">CPI</f>
        <v>0.02</v>
      </c>
      <c r="F49" s="1" t="s">
        <v>1</v>
      </c>
      <c r="M49" s="29" t="s">
        <v>169</v>
      </c>
      <c r="N49" s="30"/>
      <c r="O49" s="30"/>
      <c r="P49" s="30"/>
      <c r="Q49" s="30"/>
      <c r="R49" s="62" t="n">
        <v>0</v>
      </c>
      <c r="T49" s="88" t="s">
        <v>130</v>
      </c>
      <c r="U49" s="152"/>
      <c r="V49" s="152"/>
      <c r="W49" s="158"/>
      <c r="X49" s="149" t="n">
        <f aca="false">IF(X47=0,0,ROUND(X48/2+(TERM_C/12)-0.5,1))</f>
        <v>0</v>
      </c>
    </row>
    <row r="50" customFormat="false" ht="12.75" hidden="false" customHeight="false" outlineLevel="0" collapsed="false">
      <c r="A50" s="29" t="s">
        <v>170</v>
      </c>
      <c r="B50" s="30"/>
      <c r="C50" s="159" t="n">
        <v>0</v>
      </c>
      <c r="D50" s="30"/>
      <c r="E50" s="117" t="n">
        <f aca="false">CPI</f>
        <v>0.02</v>
      </c>
      <c r="M50" s="29" t="s">
        <v>169</v>
      </c>
      <c r="N50" s="30"/>
      <c r="O50" s="30"/>
      <c r="P50" s="30"/>
      <c r="Q50" s="30"/>
      <c r="R50" s="140" t="n">
        <v>0</v>
      </c>
      <c r="T50" s="88" t="s">
        <v>133</v>
      </c>
      <c r="U50" s="152"/>
      <c r="V50" s="152"/>
      <c r="W50" s="141" t="s">
        <v>134</v>
      </c>
      <c r="X50" s="77"/>
    </row>
    <row r="51" customFormat="false" ht="12.75" hidden="false" customHeight="false" outlineLevel="0" collapsed="false">
      <c r="A51" s="29" t="s">
        <v>171</v>
      </c>
      <c r="B51" s="30"/>
      <c r="C51" s="159" t="n">
        <v>0</v>
      </c>
      <c r="D51" s="30"/>
      <c r="E51" s="117" t="n">
        <f aca="false">CPI</f>
        <v>0.02</v>
      </c>
      <c r="M51" s="69" t="s">
        <v>172</v>
      </c>
      <c r="N51" s="70"/>
      <c r="O51" s="70"/>
      <c r="P51" s="70"/>
      <c r="Q51" s="70"/>
      <c r="R51" s="164" t="n">
        <f aca="false">SUM(R48:R50)</f>
        <v>0</v>
      </c>
      <c r="T51" s="88" t="s">
        <v>173</v>
      </c>
      <c r="U51" s="144"/>
      <c r="V51" s="160"/>
      <c r="W51" s="152"/>
      <c r="X51" s="161" t="n">
        <f aca="false">V51+U51</f>
        <v>0</v>
      </c>
    </row>
    <row r="52" customFormat="false" ht="12.75" hidden="false" customHeight="false" outlineLevel="0" collapsed="false">
      <c r="A52" s="29" t="s">
        <v>122</v>
      </c>
      <c r="B52" s="30"/>
      <c r="C52" s="159" t="n">
        <v>45</v>
      </c>
      <c r="D52" s="30"/>
      <c r="E52" s="117" t="n">
        <f aca="false">CPI</f>
        <v>0.02</v>
      </c>
      <c r="G52" s="0"/>
      <c r="H52" s="0"/>
      <c r="I52" s="0"/>
      <c r="J52" s="0"/>
      <c r="K52" s="0"/>
      <c r="M52" s="165" t="s">
        <v>45</v>
      </c>
      <c r="N52" s="166"/>
      <c r="O52" s="166"/>
      <c r="P52" s="166"/>
      <c r="Q52" s="58"/>
      <c r="R52" s="167" t="n">
        <f aca="false">SUM(R12+R14+R18+R22+R35+R41+R44+R47+R51)</f>
        <v>13000</v>
      </c>
      <c r="T52" s="88" t="s">
        <v>139</v>
      </c>
      <c r="U52" s="152"/>
      <c r="V52" s="152"/>
      <c r="W52" s="152"/>
      <c r="X52" s="117"/>
    </row>
    <row r="53" customFormat="false" ht="12.75" hidden="false" customHeight="false" outlineLevel="0" collapsed="false">
      <c r="A53" s="29" t="s">
        <v>174</v>
      </c>
      <c r="B53" s="30"/>
      <c r="C53" s="159" t="n">
        <v>0</v>
      </c>
      <c r="D53" s="30"/>
      <c r="E53" s="117" t="n">
        <f aca="false">CPI</f>
        <v>0.02</v>
      </c>
      <c r="G53" s="0"/>
      <c r="H53" s="0"/>
      <c r="I53" s="0"/>
      <c r="J53" s="0"/>
      <c r="K53" s="0"/>
      <c r="M53" s="168"/>
      <c r="N53" s="130"/>
      <c r="O53" s="130"/>
      <c r="P53" s="130"/>
      <c r="Q53" s="58"/>
      <c r="R53" s="169"/>
      <c r="T53" s="88" t="s">
        <v>142</v>
      </c>
      <c r="U53" s="152"/>
      <c r="V53" s="152"/>
      <c r="W53" s="152"/>
      <c r="X53" s="117"/>
    </row>
    <row r="54" customFormat="false" ht="12.75" hidden="false" customHeight="false" outlineLevel="0" collapsed="false">
      <c r="A54" s="29" t="s">
        <v>175</v>
      </c>
      <c r="B54" s="30"/>
      <c r="C54" s="159" t="n">
        <f aca="false">SUM(C42:C53)</f>
        <v>45</v>
      </c>
      <c r="D54" s="30"/>
      <c r="E54" s="117" t="n">
        <f aca="false">CPI</f>
        <v>0.02</v>
      </c>
      <c r="G54" s="0"/>
      <c r="H54" s="0"/>
      <c r="I54" s="0"/>
      <c r="J54" s="0"/>
      <c r="K54" s="0"/>
      <c r="M54" s="129" t="s">
        <v>176</v>
      </c>
      <c r="N54" s="130"/>
      <c r="O54" s="130"/>
      <c r="P54" s="130"/>
      <c r="Q54" s="58"/>
      <c r="R54" s="170" t="n">
        <f aca="false">COST/capacity</f>
        <v>27.3684210526316</v>
      </c>
      <c r="T54" s="88" t="s">
        <v>177</v>
      </c>
      <c r="U54" s="152"/>
      <c r="V54" s="152"/>
      <c r="W54" s="127"/>
      <c r="X54" s="149" t="s">
        <v>121</v>
      </c>
      <c r="Y54" s="85" t="e">
        <f aca="false">X71/DEBT</f>
        <v>#DIV/0!</v>
      </c>
    </row>
    <row r="55" customFormat="false" ht="12.75" hidden="false" customHeight="false" outlineLevel="0" collapsed="false">
      <c r="A55" s="29"/>
      <c r="B55" s="30"/>
      <c r="C55" s="30"/>
      <c r="D55" s="30"/>
      <c r="E55" s="171"/>
      <c r="G55" s="0"/>
      <c r="H55" s="0"/>
      <c r="I55" s="0"/>
      <c r="J55" s="0"/>
      <c r="K55" s="0"/>
      <c r="T55" s="88" t="s">
        <v>124</v>
      </c>
      <c r="U55" s="152"/>
      <c r="V55" s="152"/>
      <c r="W55" s="128"/>
      <c r="X55" s="156" t="n">
        <f aca="false">W55*DEBT</f>
        <v>0</v>
      </c>
    </row>
    <row r="56" customFormat="false" ht="12.75" hidden="false" customHeight="false" outlineLevel="0" collapsed="false">
      <c r="A56" s="157" t="s">
        <v>178</v>
      </c>
      <c r="B56" s="30"/>
      <c r="C56" s="159" t="n">
        <v>0</v>
      </c>
      <c r="D56" s="30"/>
      <c r="E56" s="117" t="n">
        <f aca="false">CPI</f>
        <v>0.02</v>
      </c>
      <c r="G56" s="0"/>
      <c r="H56" s="0"/>
      <c r="I56" s="0"/>
      <c r="J56" s="0"/>
      <c r="K56" s="0"/>
      <c r="T56" s="88" t="s">
        <v>128</v>
      </c>
      <c r="U56" s="152"/>
      <c r="V56" s="152"/>
      <c r="W56" s="152"/>
      <c r="X56" s="77"/>
    </row>
    <row r="57" customFormat="false" ht="12.75" hidden="false" customHeight="false" outlineLevel="0" collapsed="false">
      <c r="A57" s="29" t="s">
        <v>179</v>
      </c>
      <c r="B57" s="30"/>
      <c r="C57" s="159" t="n">
        <v>0</v>
      </c>
      <c r="D57" s="30"/>
      <c r="E57" s="117" t="n">
        <f aca="false">CPI</f>
        <v>0.02</v>
      </c>
      <c r="G57" s="0"/>
      <c r="H57" s="0"/>
      <c r="I57" s="0"/>
      <c r="J57" s="0"/>
      <c r="K57" s="0"/>
      <c r="T57" s="88" t="s">
        <v>130</v>
      </c>
      <c r="U57" s="152"/>
      <c r="V57" s="152"/>
      <c r="W57" s="158"/>
      <c r="X57" s="149" t="n">
        <f aca="false">IF(X55=0,0,ROUND(X56/2+(TERM_C/12)-0.5,1))</f>
        <v>0</v>
      </c>
    </row>
    <row r="58" customFormat="false" ht="12.75" hidden="false" customHeight="false" outlineLevel="0" collapsed="false">
      <c r="A58" s="29" t="s">
        <v>157</v>
      </c>
      <c r="B58" s="30"/>
      <c r="C58" s="159" t="n">
        <v>0</v>
      </c>
      <c r="D58" s="30"/>
      <c r="E58" s="117" t="n">
        <f aca="false">CPI</f>
        <v>0.02</v>
      </c>
      <c r="G58" s="0"/>
      <c r="H58" s="0"/>
      <c r="I58" s="0"/>
      <c r="J58" s="0"/>
      <c r="K58" s="0"/>
      <c r="T58" s="88" t="s">
        <v>133</v>
      </c>
      <c r="U58" s="152"/>
      <c r="V58" s="152"/>
      <c r="W58" s="141" t="s">
        <v>134</v>
      </c>
      <c r="X58" s="77"/>
    </row>
    <row r="59" customFormat="false" ht="12.75" hidden="false" customHeight="false" outlineLevel="0" collapsed="false">
      <c r="A59" s="29" t="s">
        <v>180</v>
      </c>
      <c r="B59" s="30"/>
      <c r="C59" s="159" t="n">
        <v>0</v>
      </c>
      <c r="D59" s="30"/>
      <c r="E59" s="117" t="n">
        <f aca="false">CPI</f>
        <v>0.02</v>
      </c>
      <c r="G59" s="0"/>
      <c r="H59" s="0"/>
      <c r="I59" s="0"/>
      <c r="J59" s="0"/>
      <c r="K59" s="0"/>
      <c r="T59" s="88" t="s">
        <v>181</v>
      </c>
      <c r="U59" s="144"/>
      <c r="V59" s="160"/>
      <c r="W59" s="152"/>
      <c r="X59" s="161" t="n">
        <f aca="false">V59+U59</f>
        <v>0</v>
      </c>
    </row>
    <row r="60" customFormat="false" ht="12.75" hidden="false" customHeight="false" outlineLevel="0" collapsed="false">
      <c r="A60" s="57" t="s">
        <v>122</v>
      </c>
      <c r="B60" s="58"/>
      <c r="C60" s="172" t="n">
        <v>0</v>
      </c>
      <c r="D60" s="58"/>
      <c r="E60" s="173" t="n">
        <f aca="false">CPI</f>
        <v>0.02</v>
      </c>
      <c r="G60" s="0"/>
      <c r="H60" s="0"/>
      <c r="I60" s="0"/>
      <c r="J60" s="0"/>
      <c r="K60" s="0"/>
      <c r="T60" s="88" t="s">
        <v>139</v>
      </c>
      <c r="U60" s="152"/>
      <c r="V60" s="152"/>
      <c r="W60" s="152"/>
      <c r="X60" s="117"/>
    </row>
    <row r="61" customFormat="false" ht="12.75" hidden="false" customHeight="false" outlineLevel="0" collapsed="false">
      <c r="G61" s="0"/>
      <c r="H61" s="0"/>
      <c r="I61" s="0"/>
      <c r="J61" s="0"/>
      <c r="K61" s="0"/>
      <c r="T61" s="88" t="s">
        <v>142</v>
      </c>
      <c r="U61" s="152"/>
      <c r="V61" s="152"/>
      <c r="W61" s="152"/>
      <c r="X61" s="117"/>
    </row>
    <row r="62" customFormat="false" ht="12.75" hidden="false" customHeight="false" outlineLevel="0" collapsed="false">
      <c r="A62" s="1" t="s">
        <v>182</v>
      </c>
      <c r="D62" s="85" t="n">
        <v>0.04</v>
      </c>
      <c r="G62" s="0"/>
      <c r="H62" s="0"/>
      <c r="I62" s="0"/>
      <c r="J62" s="0"/>
      <c r="K62" s="0"/>
      <c r="T62" s="88" t="s">
        <v>183</v>
      </c>
      <c r="U62" s="152"/>
      <c r="V62" s="152"/>
      <c r="W62" s="127"/>
      <c r="X62" s="149" t="s">
        <v>121</v>
      </c>
      <c r="Y62" s="85" t="e">
        <f aca="false">SUM(Y23:Y61)</f>
        <v>#DIV/0!</v>
      </c>
    </row>
    <row r="63" customFormat="false" ht="12.75" hidden="false" customHeight="false" outlineLevel="0" collapsed="false">
      <c r="G63" s="0"/>
      <c r="H63" s="0"/>
      <c r="I63" s="0"/>
      <c r="J63" s="0"/>
      <c r="K63" s="0"/>
      <c r="M63" s="0"/>
      <c r="T63" s="88" t="s">
        <v>124</v>
      </c>
      <c r="U63" s="152"/>
      <c r="V63" s="152"/>
      <c r="W63" s="128"/>
      <c r="X63" s="156" t="n">
        <f aca="false">W63*DEBT</f>
        <v>0</v>
      </c>
    </row>
    <row r="64" customFormat="false" ht="12.75" hidden="false" customHeight="false" outlineLevel="0" collapsed="false">
      <c r="G64" s="0"/>
      <c r="H64" s="0"/>
      <c r="I64" s="0"/>
      <c r="J64" s="0"/>
      <c r="K64" s="0"/>
      <c r="M64" s="0"/>
      <c r="T64" s="88" t="s">
        <v>128</v>
      </c>
      <c r="U64" s="152"/>
      <c r="V64" s="152"/>
      <c r="W64" s="152"/>
      <c r="X64" s="77"/>
    </row>
    <row r="65" customFormat="false" ht="12.75" hidden="false" customHeight="false" outlineLevel="0" collapsed="false">
      <c r="G65" s="0"/>
      <c r="H65" s="0"/>
      <c r="I65" s="0"/>
      <c r="J65" s="0"/>
      <c r="K65" s="0"/>
      <c r="M65" s="0"/>
      <c r="T65" s="88" t="s">
        <v>130</v>
      </c>
      <c r="U65" s="152"/>
      <c r="V65" s="152"/>
      <c r="W65" s="158"/>
      <c r="X65" s="149" t="n">
        <f aca="false">IF(X63=0,0,ROUND(X64/2+(TERM_C/12)-0.5,1))</f>
        <v>0</v>
      </c>
    </row>
    <row r="66" customFormat="false" ht="12.75" hidden="false" customHeight="false" outlineLevel="0" collapsed="false">
      <c r="G66" s="0"/>
      <c r="H66" s="0"/>
      <c r="I66" s="0"/>
      <c r="J66" s="0"/>
      <c r="K66" s="0"/>
      <c r="M66" s="0"/>
      <c r="T66" s="88" t="s">
        <v>133</v>
      </c>
      <c r="U66" s="152"/>
      <c r="V66" s="152"/>
      <c r="W66" s="141" t="s">
        <v>134</v>
      </c>
      <c r="X66" s="77"/>
    </row>
    <row r="67" customFormat="false" ht="12.75" hidden="false" customHeight="false" outlineLevel="0" collapsed="false">
      <c r="G67" s="0"/>
      <c r="H67" s="0"/>
      <c r="I67" s="0"/>
      <c r="J67" s="0"/>
      <c r="K67" s="0"/>
      <c r="M67" s="0"/>
      <c r="T67" s="88" t="s">
        <v>173</v>
      </c>
      <c r="U67" s="144"/>
      <c r="V67" s="160"/>
      <c r="W67" s="152"/>
      <c r="X67" s="161" t="n">
        <f aca="false">V67+U67</f>
        <v>0</v>
      </c>
    </row>
    <row r="68" customFormat="false" ht="12.75" hidden="false" customHeight="false" outlineLevel="0" collapsed="false">
      <c r="F68" s="0"/>
      <c r="G68" s="0"/>
      <c r="H68" s="0"/>
      <c r="I68" s="0"/>
      <c r="J68" s="0"/>
      <c r="K68" s="0"/>
      <c r="L68" s="0"/>
      <c r="M68" s="0"/>
      <c r="T68" s="88" t="s">
        <v>139</v>
      </c>
      <c r="U68" s="152"/>
      <c r="V68" s="152"/>
      <c r="W68" s="152"/>
      <c r="X68" s="117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T69" s="88" t="s">
        <v>142</v>
      </c>
      <c r="U69" s="152"/>
      <c r="V69" s="152"/>
      <c r="W69" s="152"/>
      <c r="X69" s="117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T70" s="88" t="s">
        <v>184</v>
      </c>
      <c r="U70" s="152"/>
      <c r="V70" s="152"/>
      <c r="W70" s="127"/>
      <c r="X70" s="149" t="s">
        <v>121</v>
      </c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T71" s="88" t="s">
        <v>124</v>
      </c>
      <c r="U71" s="152"/>
      <c r="V71" s="152"/>
      <c r="W71" s="128"/>
      <c r="X71" s="156" t="n">
        <f aca="false">W71*DEBT</f>
        <v>0</v>
      </c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T72" s="88" t="s">
        <v>128</v>
      </c>
      <c r="U72" s="152"/>
      <c r="V72" s="152"/>
      <c r="W72" s="152"/>
      <c r="X72" s="77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T73" s="88" t="s">
        <v>130</v>
      </c>
      <c r="U73" s="152"/>
      <c r="V73" s="152"/>
      <c r="W73" s="158"/>
      <c r="X73" s="149" t="n">
        <f aca="false">IF(X71=0,0,ROUND(X72/2+(TERM_C/12)-0.5,1))</f>
        <v>0</v>
      </c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T74" s="88" t="s">
        <v>133</v>
      </c>
      <c r="U74" s="152"/>
      <c r="V74" s="152"/>
      <c r="W74" s="141" t="s">
        <v>134</v>
      </c>
      <c r="X74" s="77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T75" s="88" t="s">
        <v>181</v>
      </c>
      <c r="U75" s="144"/>
      <c r="V75" s="160"/>
      <c r="W75" s="152"/>
      <c r="X75" s="161" t="n">
        <f aca="false">V75+U75</f>
        <v>0</v>
      </c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T76" s="88" t="s">
        <v>139</v>
      </c>
      <c r="U76" s="152"/>
      <c r="V76" s="152"/>
      <c r="W76" s="152"/>
      <c r="X76" s="117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T77" s="88" t="s">
        <v>142</v>
      </c>
      <c r="U77" s="152"/>
      <c r="V77" s="152"/>
      <c r="W77" s="152"/>
      <c r="X77" s="117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T78" s="88"/>
      <c r="U78" s="152"/>
      <c r="V78" s="152"/>
      <c r="W78" s="152"/>
      <c r="X78" s="34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T79" s="88" t="s">
        <v>185</v>
      </c>
      <c r="U79" s="174" t="s">
        <v>186</v>
      </c>
      <c r="V79" s="152"/>
      <c r="W79" s="175"/>
      <c r="X79" s="175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T80" s="29"/>
      <c r="U80" s="135"/>
      <c r="V80" s="135"/>
      <c r="W80" s="135"/>
      <c r="X80" s="34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T81" s="29" t="s">
        <v>187</v>
      </c>
      <c r="U81" s="135"/>
      <c r="V81" s="176" t="n">
        <f aca="false">1-equityperc</f>
        <v>0</v>
      </c>
      <c r="W81" s="135"/>
      <c r="X81" s="46" t="n">
        <f aca="false">COST*DEBTPERC</f>
        <v>0</v>
      </c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T82" s="29" t="s">
        <v>188</v>
      </c>
      <c r="U82" s="135"/>
      <c r="V82" s="177" t="n">
        <v>1</v>
      </c>
      <c r="W82" s="135"/>
      <c r="X82" s="74" t="n">
        <f aca="false">COST*equityperc</f>
        <v>13000</v>
      </c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T83" s="57" t="s">
        <v>189</v>
      </c>
      <c r="U83" s="178"/>
      <c r="V83" s="179" t="n">
        <f aca="false">DEBTPERC+equityperc</f>
        <v>1</v>
      </c>
      <c r="W83" s="178"/>
      <c r="X83" s="180" t="n">
        <f aca="false">SUM(X81:X82)</f>
        <v>13000</v>
      </c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T84" s="30"/>
      <c r="U84" s="135"/>
      <c r="V84" s="181"/>
      <c r="W84" s="135"/>
      <c r="X84" s="182"/>
      <c r="Y84" s="183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U85" s="184"/>
      <c r="V85" s="184"/>
      <c r="W85" s="184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U86" s="184"/>
      <c r="V86" s="184"/>
      <c r="W86" s="184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U87" s="184"/>
      <c r="V87" s="184"/>
      <c r="W87" s="184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U88" s="184"/>
      <c r="V88" s="184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U89" s="184"/>
      <c r="V89" s="184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U90" s="184"/>
      <c r="V90" s="184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U91" s="184"/>
      <c r="V91" s="184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U92" s="184"/>
      <c r="V92" s="184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U93" s="184"/>
      <c r="V93" s="184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U94" s="184"/>
      <c r="V94" s="184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U95" s="184"/>
      <c r="V95" s="184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U96" s="184"/>
      <c r="V96" s="184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U97" s="184"/>
      <c r="V97" s="184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O102" s="1" t="s">
        <v>190</v>
      </c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O103" s="1" t="s">
        <v>191</v>
      </c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L104" s="0"/>
      <c r="M104" s="0"/>
      <c r="O104" s="1" t="s">
        <v>192</v>
      </c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L105" s="0"/>
      <c r="M105" s="0"/>
      <c r="AD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L106" s="0"/>
      <c r="M106" s="0"/>
      <c r="AD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L107" s="0"/>
      <c r="M107" s="0"/>
      <c r="AD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L108" s="0"/>
      <c r="M108" s="0"/>
      <c r="AD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L109" s="0"/>
      <c r="M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L110" s="0"/>
      <c r="M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L111" s="0"/>
      <c r="M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L112" s="0"/>
      <c r="M112" s="0"/>
      <c r="AD112" s="0"/>
      <c r="AE112" s="0"/>
      <c r="AF112" s="0"/>
      <c r="AG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L113" s="0"/>
      <c r="M113" s="0"/>
      <c r="AD113" s="0"/>
      <c r="AE113" s="0"/>
      <c r="AF113" s="0"/>
      <c r="AG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L114" s="0"/>
      <c r="M114" s="0"/>
      <c r="AD114" s="0"/>
      <c r="AE114" s="0"/>
      <c r="AF114" s="0"/>
      <c r="AG114" s="0"/>
      <c r="AH114" s="0"/>
      <c r="AI114" s="0"/>
      <c r="AJ114" s="0"/>
      <c r="AK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L115" s="0"/>
      <c r="AD115" s="0"/>
      <c r="AE115" s="0"/>
      <c r="AF115" s="0"/>
      <c r="AG115" s="0"/>
      <c r="AH115" s="0"/>
      <c r="AI115" s="0"/>
      <c r="AJ115" s="0"/>
      <c r="AK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L116" s="0"/>
      <c r="AD116" s="0"/>
      <c r="AE116" s="0"/>
      <c r="AF116" s="0"/>
      <c r="AG116" s="0"/>
      <c r="AH116" s="0"/>
      <c r="AI116" s="0"/>
      <c r="AJ116" s="0"/>
      <c r="AK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L117" s="0"/>
      <c r="AD117" s="0"/>
      <c r="AE117" s="0"/>
      <c r="AF117" s="0"/>
      <c r="AG117" s="0"/>
      <c r="AH117" s="0"/>
      <c r="AI117" s="0"/>
      <c r="AJ117" s="0"/>
      <c r="AK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L118" s="0"/>
      <c r="AD118" s="0"/>
      <c r="AE118" s="0"/>
      <c r="AF118" s="0"/>
      <c r="AG118" s="0"/>
      <c r="AH118" s="0"/>
      <c r="AI118" s="0"/>
      <c r="AJ118" s="0"/>
      <c r="AK118" s="0"/>
      <c r="AL118" s="1" t="n">
        <v>2</v>
      </c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L119" s="0"/>
      <c r="AD119" s="0"/>
      <c r="AE119" s="0"/>
      <c r="AF119" s="0"/>
      <c r="AG119" s="0"/>
      <c r="AH119" s="0"/>
      <c r="AI119" s="0"/>
      <c r="AJ119" s="0"/>
      <c r="AK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AD120" s="0"/>
      <c r="AE120" s="0"/>
      <c r="AF120" s="0"/>
      <c r="AG120" s="0"/>
      <c r="AH120" s="0"/>
      <c r="AI120" s="0"/>
      <c r="AJ120" s="0"/>
      <c r="AK120" s="0"/>
      <c r="AL120" s="1" t="n">
        <v>3</v>
      </c>
    </row>
    <row r="121" customFormat="false" ht="12.75" hidden="false" customHeight="false" outlineLevel="0" collapsed="false">
      <c r="AD121" s="0"/>
      <c r="AE121" s="0"/>
      <c r="AF121" s="0"/>
      <c r="AG121" s="0"/>
      <c r="AH121" s="0"/>
      <c r="AI121" s="0"/>
      <c r="AJ121" s="0"/>
      <c r="AK121" s="0"/>
    </row>
    <row r="122" customFormat="false" ht="12.75" hidden="false" customHeight="false" outlineLevel="0" collapsed="false">
      <c r="AD122" s="0"/>
      <c r="AE122" s="0"/>
      <c r="AF122" s="0"/>
      <c r="AG122" s="0"/>
      <c r="AH122" s="0"/>
      <c r="AI122" s="0"/>
      <c r="AJ122" s="0"/>
      <c r="AK122" s="0"/>
      <c r="AL122" s="1" t="n">
        <v>4</v>
      </c>
    </row>
    <row r="123" customFormat="false" ht="12.75" hidden="false" customHeight="false" outlineLevel="0" collapsed="false">
      <c r="AD123" s="0"/>
      <c r="AE123" s="0"/>
      <c r="AF123" s="0"/>
      <c r="AG123" s="0"/>
      <c r="AH123" s="0"/>
      <c r="AI123" s="0"/>
      <c r="AJ123" s="0"/>
      <c r="AK123" s="0"/>
    </row>
    <row r="124" customFormat="false" ht="12.75" hidden="false" customHeight="false" outlineLevel="0" collapsed="false">
      <c r="AD124" s="0"/>
      <c r="AE124" s="0"/>
      <c r="AF124" s="0"/>
      <c r="AG124" s="0"/>
      <c r="AH124" s="0"/>
      <c r="AI124" s="0"/>
      <c r="AJ124" s="0"/>
      <c r="AK124" s="0"/>
      <c r="AL124" s="1" t="n">
        <v>5</v>
      </c>
    </row>
    <row r="125" customFormat="false" ht="12.75" hidden="false" customHeight="false" outlineLevel="0" collapsed="false">
      <c r="AD125" s="0"/>
      <c r="AE125" s="0"/>
      <c r="AF125" s="0"/>
      <c r="AG125" s="0"/>
      <c r="AH125" s="0"/>
      <c r="AI125" s="0"/>
      <c r="AJ125" s="0"/>
      <c r="AK125" s="0"/>
    </row>
    <row r="126" customFormat="false" ht="12.75" hidden="false" customHeight="false" outlineLevel="0" collapsed="false">
      <c r="AD126" s="0"/>
      <c r="AE126" s="0"/>
      <c r="AF126" s="0"/>
      <c r="AG126" s="0"/>
      <c r="AH126" s="0"/>
      <c r="AI126" s="0"/>
      <c r="AJ126" s="0"/>
      <c r="AK126" s="0"/>
      <c r="AL126" s="1" t="n">
        <v>6</v>
      </c>
    </row>
    <row r="127" customFormat="false" ht="12.75" hidden="false" customHeight="false" outlineLevel="0" collapsed="false">
      <c r="AD127" s="0"/>
      <c r="AE127" s="0"/>
      <c r="AF127" s="0"/>
      <c r="AG127" s="0"/>
      <c r="AH127" s="0"/>
      <c r="AI127" s="0"/>
      <c r="AJ127" s="0"/>
      <c r="AK127" s="0"/>
    </row>
    <row r="128" customFormat="false" ht="12.75" hidden="false" customHeight="false" outlineLevel="0" collapsed="false">
      <c r="AD128" s="0"/>
      <c r="AE128" s="0"/>
      <c r="AF128" s="0"/>
      <c r="AG128" s="0"/>
      <c r="AH128" s="0"/>
      <c r="AI128" s="0"/>
      <c r="AJ128" s="0"/>
      <c r="AK128" s="0"/>
      <c r="AL128" s="1" t="n">
        <v>7</v>
      </c>
    </row>
    <row r="129" customFormat="false" ht="12.75" hidden="false" customHeight="false" outlineLevel="0" collapsed="false">
      <c r="AD129" s="0"/>
      <c r="AE129" s="0"/>
      <c r="AF129" s="0"/>
      <c r="AG129" s="0"/>
      <c r="AH129" s="0"/>
      <c r="AI129" s="0"/>
      <c r="AJ129" s="0"/>
      <c r="AK129" s="0"/>
    </row>
    <row r="130" customFormat="false" ht="12.75" hidden="false" customHeight="false" outlineLevel="0" collapsed="false">
      <c r="AD130" s="0"/>
      <c r="AE130" s="0"/>
      <c r="AF130" s="0"/>
      <c r="AG130" s="0"/>
      <c r="AH130" s="0"/>
      <c r="AI130" s="0"/>
      <c r="AJ130" s="0"/>
      <c r="AK130" s="0"/>
      <c r="AL130" s="1" t="n">
        <v>8</v>
      </c>
    </row>
    <row r="131" customFormat="false" ht="12.75" hidden="false" customHeight="false" outlineLevel="0" collapsed="false">
      <c r="AD131" s="0"/>
      <c r="AE131" s="0"/>
      <c r="AF131" s="0"/>
      <c r="AG131" s="0"/>
      <c r="AH131" s="0"/>
      <c r="AI131" s="0"/>
      <c r="AJ131" s="0"/>
      <c r="AK131" s="0"/>
    </row>
    <row r="132" customFormat="false" ht="12.75" hidden="false" customHeight="false" outlineLevel="0" collapsed="false">
      <c r="AD132" s="0"/>
      <c r="AE132" s="0"/>
      <c r="AF132" s="0"/>
      <c r="AG132" s="0"/>
      <c r="AH132" s="0"/>
      <c r="AI132" s="0"/>
      <c r="AJ132" s="0"/>
      <c r="AK132" s="0"/>
    </row>
    <row r="133" customFormat="false" ht="12.75" hidden="false" customHeight="false" outlineLevel="0" collapsed="false">
      <c r="AD133" s="0"/>
      <c r="AE133" s="0"/>
      <c r="AF133" s="0"/>
      <c r="AG133" s="0"/>
      <c r="AH133" s="0"/>
      <c r="AI133" s="0"/>
      <c r="AJ133" s="0"/>
      <c r="AK133" s="0"/>
    </row>
    <row r="134" customFormat="false" ht="12.75" hidden="false" customHeight="false" outlineLevel="0" collapsed="false">
      <c r="AD134" s="0"/>
      <c r="AE134" s="0"/>
      <c r="AF134" s="0"/>
      <c r="AG134" s="0"/>
      <c r="AH134" s="0"/>
      <c r="AI134" s="0"/>
      <c r="AJ134" s="0"/>
      <c r="AK134" s="0"/>
    </row>
    <row r="135" customFormat="false" ht="12.75" hidden="false" customHeight="false" outlineLevel="0" collapsed="false">
      <c r="AD135" s="0"/>
      <c r="AE135" s="0"/>
      <c r="AF135" s="0"/>
      <c r="AG135" s="0"/>
      <c r="AH135" s="0"/>
      <c r="AI135" s="0"/>
      <c r="AJ135" s="0"/>
      <c r="AK135" s="0"/>
    </row>
    <row r="136" customFormat="false" ht="12.75" hidden="false" customHeight="false" outlineLevel="0" collapsed="false">
      <c r="AD136" s="0"/>
      <c r="AE136" s="0"/>
      <c r="AF136" s="0"/>
      <c r="AG136" s="0"/>
      <c r="AH136" s="0"/>
      <c r="AI136" s="0"/>
      <c r="AJ136" s="0"/>
      <c r="AK136" s="0"/>
    </row>
    <row r="137" customFormat="false" ht="12.75" hidden="false" customHeight="false" outlineLevel="0" collapsed="false">
      <c r="AD137" s="0"/>
      <c r="AE137" s="0"/>
      <c r="AF137" s="0"/>
      <c r="AG137" s="0"/>
      <c r="AH137" s="0"/>
      <c r="AI137" s="0"/>
      <c r="AJ137" s="0"/>
      <c r="AK137" s="0"/>
    </row>
    <row r="138" customFormat="false" ht="12.75" hidden="false" customHeight="false" outlineLevel="0" collapsed="false">
      <c r="AD138" s="0"/>
      <c r="AE138" s="0"/>
      <c r="AF138" s="0"/>
      <c r="AG138" s="0"/>
      <c r="AH138" s="0"/>
      <c r="AI138" s="0"/>
      <c r="AJ138" s="0"/>
      <c r="AK138" s="0"/>
    </row>
    <row r="139" customFormat="false" ht="12.75" hidden="false" customHeight="false" outlineLevel="0" collapsed="false">
      <c r="AD139" s="0"/>
      <c r="AE139" s="0"/>
      <c r="AF139" s="0"/>
      <c r="AG139" s="0"/>
      <c r="AH139" s="0"/>
      <c r="AI139" s="0"/>
      <c r="AJ139" s="0"/>
      <c r="AK139" s="0"/>
    </row>
    <row r="140" customFormat="false" ht="12.75" hidden="false" customHeight="false" outlineLevel="0" collapsed="false">
      <c r="AD140" s="0"/>
      <c r="AE140" s="0"/>
      <c r="AF140" s="0"/>
      <c r="AG140" s="0"/>
      <c r="AH140" s="0"/>
      <c r="AI140" s="0"/>
      <c r="AJ140" s="0"/>
      <c r="AK140" s="0"/>
    </row>
    <row r="141" customFormat="false" ht="12.75" hidden="false" customHeight="false" outlineLevel="0" collapsed="false">
      <c r="AD141" s="0"/>
      <c r="AE141" s="0"/>
      <c r="AF141" s="0"/>
      <c r="AG141" s="0"/>
      <c r="AH141" s="0"/>
      <c r="AI141" s="0"/>
      <c r="AJ141" s="0"/>
      <c r="AK141" s="0"/>
    </row>
    <row r="142" customFormat="false" ht="12.75" hidden="false" customHeight="false" outlineLevel="0" collapsed="false">
      <c r="AD142" s="0"/>
      <c r="AE142" s="0"/>
      <c r="AF142" s="0"/>
      <c r="AG142" s="0"/>
      <c r="AH142" s="0"/>
      <c r="AI142" s="0"/>
      <c r="AJ142" s="0"/>
      <c r="AK142" s="0"/>
    </row>
    <row r="143" customFormat="false" ht="12.75" hidden="false" customHeight="false" outlineLevel="0" collapsed="false">
      <c r="AH143" s="0"/>
      <c r="AI143" s="0"/>
      <c r="AJ143" s="0"/>
      <c r="AK143" s="0"/>
    </row>
    <row r="144" customFormat="false" ht="12.75" hidden="false" customHeight="false" outlineLevel="0" collapsed="false">
      <c r="AH144" s="0"/>
      <c r="AI144" s="0"/>
      <c r="AJ144" s="0"/>
      <c r="AK144" s="0"/>
    </row>
  </sheetData>
  <mergeCells count="5">
    <mergeCell ref="Z9:AA9"/>
    <mergeCell ref="Z10:AA10"/>
    <mergeCell ref="AI22:AJ22"/>
    <mergeCell ref="AI23:AJ23"/>
    <mergeCell ref="W79:X79"/>
  </mergeCells>
  <printOptions headings="false" gridLines="false" gridLinesSet="true" horizontalCentered="true" verticalCentered="false"/>
  <pageMargins left="0.25" right="0.25" top="0.5" bottom="0.5" header="0.5" footer="0.5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4" name="Button 1">
              <controlPr defaultSize="0" print="false" autoFill="0" autoPict="0" macro="XLS.Module8.CONVERGE">
                <anchor moveWithCells="true" sizeWithCells="false">
                  <from>
                    <xdr:col>1</xdr:col>
                    <xdr:colOff>674640</xdr:colOff>
                    <xdr:row>0</xdr:row>
                    <xdr:rowOff>19080</xdr:rowOff>
                  </from>
                  <to>
                    <xdr:col>2</xdr:col>
                    <xdr:colOff>51120</xdr:colOff>
                    <xdr:row>1</xdr:row>
                    <xdr:rowOff>152280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5" name="Button 2">
              <controlPr defaultSize="0" print="false" autoFill="0" autoPict="0" macro="XLS.Module1.PRINTALL">
                <anchor moveWithCells="true" sizeWithCells="false">
                  <from>
                    <xdr:col>0</xdr:col>
                    <xdr:colOff>150840</xdr:colOff>
                    <xdr:row>0</xdr:row>
                    <xdr:rowOff>9360</xdr:rowOff>
                  </from>
                  <to>
                    <xdr:col>1</xdr:col>
                    <xdr:colOff>525600</xdr:colOff>
                    <xdr:row>1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4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I68" activeCellId="0" sqref="I6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1" width="13.7"/>
    <col collapsed="false" customWidth="true" hidden="false" outlineLevel="0" max="3" min="3" style="1" width="20.56"/>
    <col collapsed="false" customWidth="true" hidden="false" outlineLevel="0" max="7" min="4" style="1" width="10.71"/>
    <col collapsed="false" customWidth="false" hidden="false" outlineLevel="0" max="257" min="8" style="1" width="9.14"/>
  </cols>
  <sheetData>
    <row r="1" customFormat="false" ht="15.75" hidden="false" customHeight="false" outlineLevel="0" collapsed="false">
      <c r="A1" s="2" t="s">
        <v>193</v>
      </c>
      <c r="B1" s="138"/>
    </row>
    <row r="2" customFormat="false" ht="15.75" hidden="false" customHeight="false" outlineLevel="0" collapsed="false">
      <c r="A2" s="185" t="n">
        <f aca="false">ASS!A4</f>
        <v>0</v>
      </c>
      <c r="B2" s="149"/>
    </row>
    <row r="3" customFormat="false" ht="15.75" hidden="false" customHeight="false" outlineLevel="0" collapsed="false">
      <c r="A3" s="186" t="str">
        <f aca="false">ASS!A5</f>
        <v>BASE MODEL</v>
      </c>
      <c r="B3" s="151"/>
    </row>
    <row r="4" customFormat="false" ht="15.75" hidden="false" customHeight="false" outlineLevel="0" collapsed="false">
      <c r="A4" s="8"/>
      <c r="B4" s="61"/>
    </row>
    <row r="5" customFormat="false" ht="12.75" hidden="false" customHeight="false" outlineLevel="0" collapsed="false">
      <c r="A5" s="18" t="s">
        <v>194</v>
      </c>
      <c r="B5" s="15"/>
      <c r="C5" s="15"/>
      <c r="D5" s="15" t="n">
        <v>1</v>
      </c>
      <c r="E5" s="15" t="n">
        <f aca="false">D5+1</f>
        <v>2</v>
      </c>
      <c r="F5" s="15" t="n">
        <f aca="false">E5+1</f>
        <v>3</v>
      </c>
      <c r="G5" s="187"/>
    </row>
    <row r="6" customFormat="false" ht="12.75" hidden="false" customHeight="false" outlineLevel="0" collapsed="false">
      <c r="A6" s="188" t="s">
        <v>195</v>
      </c>
      <c r="B6" s="30"/>
      <c r="C6" s="30"/>
      <c r="D6" s="189" t="n">
        <f aca="false">STARTYR</f>
        <v>2001</v>
      </c>
      <c r="E6" s="189" t="n">
        <f aca="false">IF(D6+1-$D$6&gt;TERM,0,IF(D6&gt;0,D6+1,0))</f>
        <v>2002</v>
      </c>
      <c r="F6" s="189" t="n">
        <f aca="false">IF(E6+1-$D$6&gt;TERM,0,IF(E6&gt;0,E6+1,0))</f>
        <v>2003</v>
      </c>
      <c r="G6" s="190" t="s">
        <v>196</v>
      </c>
    </row>
    <row r="7" customFormat="false" ht="12.75" hidden="false" customHeight="false" outlineLevel="0" collapsed="false">
      <c r="A7" s="57" t="s">
        <v>197</v>
      </c>
      <c r="B7" s="58"/>
      <c r="C7" s="58"/>
      <c r="D7" s="58" t="n">
        <f aca="false">IF(D5&lt;=TERM,12,IF(D5=TERM+1,+MOSYR1-1,0))</f>
        <v>12</v>
      </c>
      <c r="E7" s="58" t="n">
        <f aca="false">IF(E5&lt;=TERM,12,IF(E5=TERM+1,+MOSYR1-1,0))</f>
        <v>12</v>
      </c>
      <c r="F7" s="58" t="n">
        <f aca="false">IF(F5&lt;=TERM,12,IF(F5=TERM+1,+MOSYR1-1,0))</f>
        <v>12</v>
      </c>
      <c r="G7" s="191"/>
    </row>
    <row r="8" customFormat="false" ht="12.75" hidden="false" customHeight="false" outlineLevel="0" collapsed="false">
      <c r="A8" s="29"/>
      <c r="B8" s="30"/>
      <c r="C8" s="30"/>
      <c r="D8" s="30"/>
      <c r="E8" s="30"/>
      <c r="F8" s="30"/>
      <c r="G8" s="34"/>
    </row>
    <row r="9" customFormat="false" ht="12.75" hidden="false" customHeight="false" outlineLevel="0" collapsed="false">
      <c r="A9" s="18" t="s">
        <v>198</v>
      </c>
      <c r="B9" s="15"/>
      <c r="C9" s="15"/>
      <c r="D9" s="15" t="n">
        <f aca="false">IF(D5&gt;TERM,0,capacity)</f>
        <v>475</v>
      </c>
      <c r="E9" s="15" t="n">
        <f aca="false">IF(E5&gt;TERM,0,capacity)</f>
        <v>475</v>
      </c>
      <c r="F9" s="15" t="n">
        <f aca="false">IF(F5&gt;TERM,0,capacity)</f>
        <v>475</v>
      </c>
      <c r="G9" s="187"/>
    </row>
    <row r="10" customFormat="false" ht="12.75" hidden="false" customHeight="false" outlineLevel="0" collapsed="false">
      <c r="A10" s="30" t="s">
        <v>199</v>
      </c>
      <c r="B10" s="30"/>
      <c r="C10" s="30"/>
      <c r="D10" s="192" t="n">
        <f aca="false">24*365*D9*avail*dispatch*D7/12</f>
        <v>4161000</v>
      </c>
      <c r="E10" s="192" t="n">
        <f aca="false">24*365*E9*avail*dispatch*E7/12</f>
        <v>4161000</v>
      </c>
      <c r="F10" s="192" t="n">
        <f aca="false">24*365*F9*avail*dispatch*F7/12</f>
        <v>4161000</v>
      </c>
      <c r="G10" s="193"/>
    </row>
    <row r="11" customFormat="false" ht="12.75" hidden="false" customHeight="false" outlineLevel="0" collapsed="false">
      <c r="A11" s="29"/>
      <c r="B11" s="30"/>
      <c r="C11" s="30"/>
      <c r="D11" s="30"/>
      <c r="E11" s="30"/>
      <c r="F11" s="30"/>
      <c r="G11" s="193"/>
    </row>
    <row r="12" customFormat="false" ht="12.75" hidden="false" customHeight="false" outlineLevel="0" collapsed="false">
      <c r="A12" s="35" t="s">
        <v>200</v>
      </c>
      <c r="B12" s="30"/>
      <c r="C12" s="30"/>
      <c r="D12" s="30"/>
      <c r="E12" s="30"/>
      <c r="F12" s="30"/>
      <c r="G12" s="193"/>
    </row>
    <row r="13" customFormat="false" ht="12.75" hidden="false" customHeight="false" outlineLevel="0" collapsed="false">
      <c r="A13" s="29" t="s">
        <v>201</v>
      </c>
      <c r="B13" s="30"/>
      <c r="C13" s="30"/>
      <c r="D13" s="194" t="n">
        <v>3200</v>
      </c>
      <c r="E13" s="194" t="n">
        <v>2400</v>
      </c>
      <c r="F13" s="194" t="n">
        <v>1600</v>
      </c>
      <c r="G13" s="193"/>
    </row>
    <row r="14" customFormat="false" ht="12.75" hidden="false" customHeight="false" outlineLevel="0" collapsed="false">
      <c r="A14" s="29" t="s">
        <v>202</v>
      </c>
      <c r="B14" s="30"/>
      <c r="C14" s="30"/>
      <c r="D14" s="194" t="n">
        <v>3300</v>
      </c>
      <c r="E14" s="194" t="n">
        <v>3300</v>
      </c>
      <c r="F14" s="194" t="n">
        <v>3300</v>
      </c>
      <c r="G14" s="193"/>
    </row>
    <row r="15" customFormat="false" ht="12.75" hidden="false" customHeight="false" outlineLevel="0" collapsed="false">
      <c r="A15" s="29" t="s">
        <v>203</v>
      </c>
      <c r="B15" s="30"/>
      <c r="C15" s="30"/>
      <c r="D15" s="195" t="n">
        <v>600</v>
      </c>
      <c r="E15" s="195" t="n">
        <v>500</v>
      </c>
      <c r="F15" s="195" t="n">
        <v>400</v>
      </c>
      <c r="G15" s="193"/>
    </row>
    <row r="16" customFormat="false" ht="12.75" hidden="false" customHeight="false" outlineLevel="0" collapsed="false">
      <c r="A16" s="29" t="s">
        <v>204</v>
      </c>
      <c r="B16" s="30"/>
      <c r="C16" s="30"/>
      <c r="D16" s="194" t="n">
        <f aca="false">SUM(D13:D15)</f>
        <v>7100</v>
      </c>
      <c r="E16" s="194" t="n">
        <f aca="false">SUM(E13:E15)</f>
        <v>6200</v>
      </c>
      <c r="F16" s="194" t="n">
        <f aca="false">SUM(F13:F15)</f>
        <v>5300</v>
      </c>
      <c r="G16" s="193"/>
    </row>
    <row r="17" customFormat="false" ht="12.75" hidden="false" customHeight="false" outlineLevel="0" collapsed="false">
      <c r="A17" s="35"/>
      <c r="B17" s="30"/>
      <c r="C17" s="30"/>
      <c r="D17" s="30"/>
      <c r="E17" s="30"/>
      <c r="F17" s="30"/>
      <c r="G17" s="193"/>
    </row>
    <row r="18" customFormat="false" ht="12.75" hidden="false" customHeight="false" outlineLevel="0" collapsed="false">
      <c r="A18" s="29" t="s">
        <v>205</v>
      </c>
      <c r="B18" s="30"/>
      <c r="C18" s="30"/>
      <c r="D18" s="196" t="n">
        <f aca="false">ASS!$D$62*BS_IS!F9*D7/12</f>
        <v>0</v>
      </c>
      <c r="E18" s="196" t="n">
        <f aca="false">ASS!$D$62*BS_IS!G9*E7/12</f>
        <v>0</v>
      </c>
      <c r="F18" s="196" t="n">
        <f aca="false">ASS!$D$62*BS_IS!H9*F7/12</f>
        <v>0</v>
      </c>
      <c r="G18" s="197"/>
    </row>
    <row r="19" customFormat="false" ht="12.75" hidden="false" customHeight="false" outlineLevel="0" collapsed="false">
      <c r="A19" s="29"/>
      <c r="B19" s="30"/>
      <c r="C19" s="30"/>
      <c r="D19" s="196"/>
      <c r="E19" s="196"/>
      <c r="F19" s="196"/>
      <c r="G19" s="197"/>
    </row>
    <row r="20" customFormat="false" ht="12.75" hidden="false" customHeight="false" outlineLevel="0" collapsed="false">
      <c r="A20" s="35" t="s">
        <v>206</v>
      </c>
      <c r="B20" s="30"/>
      <c r="C20" s="30"/>
      <c r="D20" s="198" t="n">
        <f aca="false">D16+D18</f>
        <v>7100</v>
      </c>
      <c r="E20" s="198" t="n">
        <f aca="false">E16+E18</f>
        <v>6200</v>
      </c>
      <c r="F20" s="198" t="n">
        <f aca="false">F16+F18</f>
        <v>5300</v>
      </c>
      <c r="G20" s="199" t="n">
        <f aca="false">SUM(D20:F20)</f>
        <v>18600</v>
      </c>
    </row>
    <row r="21" customFormat="false" ht="12.75" hidden="false" customHeight="false" outlineLevel="0" collapsed="false">
      <c r="A21" s="29"/>
      <c r="B21" s="30"/>
      <c r="C21" s="30"/>
      <c r="D21" s="200"/>
      <c r="E21" s="30"/>
      <c r="F21" s="30"/>
      <c r="G21" s="193"/>
    </row>
    <row r="22" customFormat="false" ht="12.75" hidden="false" customHeight="false" outlineLevel="0" collapsed="false">
      <c r="A22" s="29"/>
      <c r="B22" s="30"/>
      <c r="C22" s="30"/>
      <c r="D22" s="200"/>
      <c r="E22" s="201"/>
      <c r="F22" s="201"/>
      <c r="G22" s="193"/>
    </row>
    <row r="23" customFormat="false" ht="12.75" hidden="false" customHeight="false" outlineLevel="0" collapsed="false">
      <c r="A23" s="35" t="s">
        <v>207</v>
      </c>
      <c r="B23" s="30"/>
      <c r="C23" s="30"/>
      <c r="D23" s="201"/>
      <c r="E23" s="202"/>
      <c r="F23" s="30"/>
      <c r="G23" s="193"/>
    </row>
    <row r="24" customFormat="false" ht="12.75" hidden="false" customHeight="false" outlineLevel="0" collapsed="false">
      <c r="A24" s="29"/>
      <c r="B24" s="30"/>
      <c r="C24" s="30"/>
      <c r="D24" s="196"/>
      <c r="E24" s="196"/>
      <c r="F24" s="196"/>
      <c r="G24" s="197"/>
    </row>
    <row r="25" customFormat="false" ht="12.75" hidden="false" customHeight="false" outlineLevel="0" collapsed="false">
      <c r="A25" s="109" t="s">
        <v>208</v>
      </c>
      <c r="B25" s="30"/>
      <c r="C25" s="30"/>
      <c r="D25" s="196"/>
      <c r="E25" s="196"/>
      <c r="F25" s="196"/>
      <c r="G25" s="197"/>
    </row>
    <row r="26" customFormat="false" ht="12.75" hidden="false" customHeight="false" outlineLevel="0" collapsed="false">
      <c r="A26" s="109" t="s">
        <v>209</v>
      </c>
      <c r="B26" s="30"/>
      <c r="C26" s="30"/>
      <c r="D26" s="196"/>
      <c r="E26" s="196"/>
      <c r="F26" s="196"/>
      <c r="G26" s="197"/>
    </row>
    <row r="27" customFormat="false" ht="12.75" hidden="false" customHeight="false" outlineLevel="0" collapsed="false">
      <c r="A27" s="29" t="str">
        <f aca="false">ASS!A42</f>
        <v>Miscellaneous O&amp;M</v>
      </c>
      <c r="B27" s="30"/>
      <c r="C27" s="30"/>
      <c r="D27" s="196" t="n">
        <f aca="false">ASS!$C$42*(1+ASS!$E$42)^(D6-ASS!$C$41)*D7/12</f>
        <v>0</v>
      </c>
      <c r="E27" s="196" t="n">
        <f aca="false">ASS!$C$42*(1+ASS!$E$42)^(E6-ASS!$C$41)*E7/12</f>
        <v>0</v>
      </c>
      <c r="F27" s="196" t="n">
        <f aca="false">ASS!$C$42*(1+ASS!$E$42)^(F6-ASS!$C$41)*F7/12</f>
        <v>0</v>
      </c>
      <c r="G27" s="197" t="n">
        <f aca="false">SUM(D27:F27)</f>
        <v>0</v>
      </c>
    </row>
    <row r="28" customFormat="false" ht="12.75" hidden="false" customHeight="false" outlineLevel="0" collapsed="false">
      <c r="A28" s="29" t="str">
        <f aca="false">ASS!A43</f>
        <v>Miscellaneous G&amp;A</v>
      </c>
      <c r="B28" s="30"/>
      <c r="C28" s="30"/>
      <c r="D28" s="196" t="n">
        <f aca="false">ASS!$C$43*(1+ASS!$E$43)^(D6-ASS!$C$41)*D7/12</f>
        <v>0</v>
      </c>
      <c r="E28" s="196" t="n">
        <f aca="false">ASS!$C$43*(1+ASS!$E$43)^(E6-ASS!$C$41)*E7/12</f>
        <v>0</v>
      </c>
      <c r="F28" s="196" t="n">
        <f aca="false">ASS!$C$43*(1+ASS!$E$43)^(F6-ASS!$C$41)*F7/12</f>
        <v>0</v>
      </c>
      <c r="G28" s="197" t="n">
        <f aca="false">SUM(D28:F28)</f>
        <v>0</v>
      </c>
    </row>
    <row r="29" customFormat="false" ht="12.75" hidden="false" customHeight="false" outlineLevel="0" collapsed="false">
      <c r="A29" s="29" t="str">
        <f aca="false">ASS!A44</f>
        <v>Maintenance Reserve</v>
      </c>
      <c r="B29" s="30"/>
      <c r="C29" s="30"/>
      <c r="D29" s="196" t="n">
        <f aca="false">ASS!$C$44*(1+ASS!$E$44)^(D6-ASS!$C$41)*D7/12</f>
        <v>0</v>
      </c>
      <c r="E29" s="196" t="n">
        <f aca="false">ASS!$C$44*(1+ASS!$E$44)^(E6-ASS!$C$41)*E7/12</f>
        <v>0</v>
      </c>
      <c r="F29" s="196" t="n">
        <f aca="false">ASS!$C$44*(1+ASS!$E$44)^(F6-ASS!$C$41)*F7/12</f>
        <v>0</v>
      </c>
      <c r="G29" s="197" t="n">
        <f aca="false">SUM(D29:F29)</f>
        <v>0</v>
      </c>
    </row>
    <row r="30" customFormat="false" ht="12.75" hidden="false" customHeight="false" outlineLevel="0" collapsed="false">
      <c r="A30" s="29" t="str">
        <f aca="false">ASS!A45</f>
        <v>Plant Insurance</v>
      </c>
      <c r="B30" s="30"/>
      <c r="C30" s="30"/>
      <c r="D30" s="196" t="n">
        <f aca="false">ASS!$C$45*(1+ASS!$E$45)^(D6-ASS!$C$41)*D7/12</f>
        <v>0</v>
      </c>
      <c r="E30" s="196" t="n">
        <f aca="false">ASS!$C$45*(1+ASS!$E$45)^(E6-ASS!$C$41)*E7/12</f>
        <v>0</v>
      </c>
      <c r="F30" s="196" t="n">
        <f aca="false">ASS!$C$45*(1+ASS!$E$45)^(F6-ASS!$C$41)*F7/12</f>
        <v>0</v>
      </c>
      <c r="G30" s="197" t="n">
        <f aca="false">SUM(D30:F30)</f>
        <v>0</v>
      </c>
    </row>
    <row r="31" customFormat="false" ht="12.75" hidden="false" customHeight="false" outlineLevel="0" collapsed="false">
      <c r="A31" s="29" t="str">
        <f aca="false">ASS!A46</f>
        <v>Payroll</v>
      </c>
      <c r="B31" s="30"/>
      <c r="C31" s="30"/>
      <c r="D31" s="196" t="n">
        <f aca="false">ASS!$C$46*(1+ASS!$E$46)^(D6-ASS!$C$41)*D7/12</f>
        <v>0</v>
      </c>
      <c r="E31" s="196" t="n">
        <f aca="false">ASS!$C$46*(1+ASS!$E$46)^(E6-ASS!$C$41)*E7/12</f>
        <v>0</v>
      </c>
      <c r="F31" s="196" t="n">
        <f aca="false">ASS!$C$46*(1+ASS!$E$46)^(F6-ASS!$C$41)*F7/12</f>
        <v>0</v>
      </c>
      <c r="G31" s="197" t="n">
        <f aca="false">SUM(D31:F31)</f>
        <v>0</v>
      </c>
    </row>
    <row r="32" customFormat="false" ht="12.75" hidden="false" customHeight="false" outlineLevel="0" collapsed="false">
      <c r="A32" s="29" t="str">
        <f aca="false">ASS!A47</f>
        <v>Spare Parts </v>
      </c>
      <c r="B32" s="30"/>
      <c r="C32" s="30"/>
      <c r="D32" s="196" t="n">
        <f aca="false">ASS!$C$47*(1+ASS!$E$47)^(D6-ASS!$C$41)*D7/12</f>
        <v>0</v>
      </c>
      <c r="E32" s="196" t="n">
        <f aca="false">ASS!$C$47*(1+ASS!$E$47)^(E6-ASS!$C$41)*E7/12</f>
        <v>0</v>
      </c>
      <c r="F32" s="196" t="n">
        <f aca="false">ASS!$C$47*(1+ASS!$E$47)^(F6-ASS!$C$41)*F7/12</f>
        <v>0</v>
      </c>
      <c r="G32" s="197" t="n">
        <f aca="false">SUM(D32:F32)</f>
        <v>0</v>
      </c>
    </row>
    <row r="33" customFormat="false" ht="12.75" hidden="false" customHeight="false" outlineLevel="0" collapsed="false">
      <c r="A33" s="29" t="str">
        <f aca="false">ASS!A48</f>
        <v>Water &amp; Chemicals</v>
      </c>
      <c r="B33" s="30"/>
      <c r="C33" s="30"/>
      <c r="D33" s="196" t="n">
        <f aca="false">ASS!$C$48*(1+ASS!$E$48)^(D6-ASS!$C$41)*D7/12</f>
        <v>0</v>
      </c>
      <c r="E33" s="196" t="n">
        <f aca="false">ASS!$C$48*(1+ASS!$E$48)^(E6-ASS!$C$41)*E7/12</f>
        <v>0</v>
      </c>
      <c r="F33" s="196" t="n">
        <f aca="false">ASS!$C$48*(1+ASS!$E$48)^(F6-ASS!$C$41)*F7/12</f>
        <v>0</v>
      </c>
      <c r="G33" s="197" t="n">
        <f aca="false">SUM(D33:F33)</f>
        <v>0</v>
      </c>
    </row>
    <row r="34" customFormat="false" ht="12.75" hidden="false" customHeight="false" outlineLevel="0" collapsed="false">
      <c r="A34" s="29" t="str">
        <f aca="false">ASS!A49</f>
        <v>Plant Operations (O&amp;M Fee)</v>
      </c>
      <c r="B34" s="30"/>
      <c r="C34" s="30"/>
      <c r="D34" s="196" t="n">
        <f aca="false">ASS!$C$49*(1+ASS!$E$49)^(D6-ASS!$C$41)*D7/12</f>
        <v>0</v>
      </c>
      <c r="E34" s="196" t="n">
        <f aca="false">ASS!$C$49*(1+ASS!$E$49)^(E6-ASS!$C$41)*E7/12</f>
        <v>0</v>
      </c>
      <c r="F34" s="196" t="n">
        <f aca="false">ASS!$C$49*(1+ASS!$E$49)^(F6-ASS!$C$41)*F7/12</f>
        <v>0</v>
      </c>
      <c r="G34" s="197" t="n">
        <f aca="false">SUM(D34:F34)</f>
        <v>0</v>
      </c>
    </row>
    <row r="35" customFormat="false" ht="12.75" hidden="false" customHeight="false" outlineLevel="0" collapsed="false">
      <c r="A35" s="29" t="str">
        <f aca="false">ASS!A50</f>
        <v>Transmission Capacity Pmt.</v>
      </c>
      <c r="B35" s="30"/>
      <c r="C35" s="196"/>
      <c r="D35" s="196" t="n">
        <f aca="false">ASS!$C$50*(1+ASS!$E$50)^(D6-ASS!$C$41)*D7/12</f>
        <v>0</v>
      </c>
      <c r="E35" s="196" t="n">
        <f aca="false">ASS!$C$50*(1+ASS!$E$50)^(E6-ASS!$C$41)*E7/12</f>
        <v>0</v>
      </c>
      <c r="F35" s="196" t="n">
        <f aca="false">ASS!$C$50*(1+ASS!$E$50)^(F6-ASS!$C$41)*F7/12</f>
        <v>0</v>
      </c>
      <c r="G35" s="197" t="n">
        <f aca="false">SUM(D35:F35)</f>
        <v>0</v>
      </c>
    </row>
    <row r="36" customFormat="false" ht="12.75" hidden="false" customHeight="false" outlineLevel="0" collapsed="false">
      <c r="A36" s="29" t="str">
        <f aca="false">ASS!A51</f>
        <v>Pipeline Operations</v>
      </c>
      <c r="B36" s="30"/>
      <c r="C36" s="30"/>
      <c r="D36" s="196" t="n">
        <f aca="false">ASS!$C$51*(1+ASS!$E$51)^(D6-ASS!$C$41)*D7/12</f>
        <v>0</v>
      </c>
      <c r="E36" s="196" t="n">
        <f aca="false">ASS!$C$51*(1+ASS!$E$51)^(E6-ASS!$C$41)*E7/12</f>
        <v>0</v>
      </c>
      <c r="F36" s="196" t="n">
        <f aca="false">ASS!$C$51*(1+ASS!$E$51)^(F6-ASS!$C$41)*F7/12</f>
        <v>0</v>
      </c>
      <c r="G36" s="197" t="n">
        <f aca="false">SUM(D36:F36)</f>
        <v>0</v>
      </c>
    </row>
    <row r="37" customFormat="false" ht="12.75" hidden="false" customHeight="false" outlineLevel="0" collapsed="false">
      <c r="A37" s="29" t="str">
        <f aca="false">ASS!A52</f>
        <v>Other</v>
      </c>
      <c r="B37" s="30"/>
      <c r="C37" s="30"/>
      <c r="D37" s="196" t="n">
        <f aca="false">ASS!$C$52*(1+ASS!$E$52)^(D6-ASS!$C$41)*D7/12</f>
        <v>45.9</v>
      </c>
      <c r="E37" s="196" t="n">
        <f aca="false">ASS!$C$52*(1+ASS!$E$52)^(E6-ASS!$C$41)*E7/12</f>
        <v>46.818</v>
      </c>
      <c r="F37" s="196" t="n">
        <f aca="false">ASS!$C$52*(1+ASS!$E$52)^(F6-ASS!$C$41)*F7/12</f>
        <v>47.75436</v>
      </c>
      <c r="G37" s="197" t="n">
        <f aca="false">SUM(D37:F37)</f>
        <v>140.47236</v>
      </c>
    </row>
    <row r="38" customFormat="false" ht="12.75" hidden="false" customHeight="false" outlineLevel="0" collapsed="false">
      <c r="A38" s="29" t="str">
        <f aca="false">ASS!A53</f>
        <v>Property Tax</v>
      </c>
      <c r="B38" s="30"/>
      <c r="C38" s="30"/>
      <c r="D38" s="203" t="n">
        <f aca="false">ASS!$C$53*(1+ASS!$E$53)^(D6-ASS!$C$41)*D7/12</f>
        <v>0</v>
      </c>
      <c r="E38" s="203" t="n">
        <f aca="false">ASS!$C$53*(1+ASS!$E$53)^(E6-ASS!$C$41)*E7/12</f>
        <v>0</v>
      </c>
      <c r="F38" s="203" t="n">
        <f aca="false">ASS!$C$53*(1+ASS!$E$53)^(F6-ASS!$C$41)*F7/12</f>
        <v>0</v>
      </c>
      <c r="G38" s="204" t="n">
        <f aca="false">SUM(D38:F38)</f>
        <v>0</v>
      </c>
    </row>
    <row r="39" customFormat="false" ht="12.75" hidden="false" customHeight="false" outlineLevel="0" collapsed="false">
      <c r="A39" s="29" t="s">
        <v>175</v>
      </c>
      <c r="B39" s="30"/>
      <c r="C39" s="30"/>
      <c r="D39" s="196" t="n">
        <f aca="false">SUM(D27:D38)</f>
        <v>45.9</v>
      </c>
      <c r="E39" s="196" t="n">
        <f aca="false">SUM(E27:E38)</f>
        <v>46.818</v>
      </c>
      <c r="F39" s="196" t="n">
        <f aca="false">SUM(F27:F38)</f>
        <v>47.75436</v>
      </c>
      <c r="G39" s="197" t="n">
        <f aca="false">SUM(D39:F39)</f>
        <v>140.47236</v>
      </c>
    </row>
    <row r="40" customFormat="false" ht="12.75" hidden="false" customHeight="false" outlineLevel="0" collapsed="false">
      <c r="A40" s="29"/>
      <c r="B40" s="30"/>
      <c r="C40" s="30"/>
      <c r="D40" s="196"/>
      <c r="E40" s="196"/>
      <c r="F40" s="196"/>
      <c r="G40" s="197"/>
    </row>
    <row r="41" customFormat="false" ht="12.75" hidden="false" customHeight="false" outlineLevel="0" collapsed="false">
      <c r="A41" s="109" t="s">
        <v>210</v>
      </c>
      <c r="B41" s="30"/>
      <c r="C41" s="30"/>
      <c r="D41" s="196"/>
      <c r="E41" s="196"/>
      <c r="F41" s="196"/>
      <c r="G41" s="197"/>
    </row>
    <row r="42" customFormat="false" ht="12.75" hidden="false" customHeight="false" outlineLevel="0" collapsed="false">
      <c r="A42" s="29" t="str">
        <f aca="false">ASS!A58</f>
        <v>Maintenance Reserve</v>
      </c>
      <c r="B42" s="30"/>
      <c r="C42" s="196"/>
      <c r="D42" s="196" t="n">
        <f aca="false">ASS!$C$57*(1+ASS!$E$57)^(D6-ASS!$C$41)*D7/12</f>
        <v>0</v>
      </c>
      <c r="E42" s="196" t="n">
        <f aca="false">ASS!$C$57*(1+ASS!$E$57)^(E6-ASS!$C$41)*E7/12</f>
        <v>0</v>
      </c>
      <c r="F42" s="196" t="n">
        <f aca="false">ASS!$C$57*(1+ASS!$E$57)^(F6-ASS!$C$41)*F7/12</f>
        <v>0</v>
      </c>
      <c r="G42" s="197" t="n">
        <f aca="false">SUM(D42:F42)</f>
        <v>0</v>
      </c>
    </row>
    <row r="43" customFormat="false" ht="12.75" hidden="false" customHeight="false" outlineLevel="0" collapsed="false">
      <c r="A43" s="29" t="str">
        <f aca="false">ASS!A59</f>
        <v>Maintenance Excluding (Major Maint)</v>
      </c>
      <c r="B43" s="30"/>
      <c r="C43" s="30"/>
      <c r="D43" s="196" t="n">
        <f aca="false">ASS!$C$58*(1+ASS!$E$58)^(D6-ASS!$C$41)*D7/12</f>
        <v>0</v>
      </c>
      <c r="E43" s="196" t="n">
        <f aca="false">ASS!$C$58*(1+ASS!$E$58)^(E6-ASS!$C$41)*E7/12</f>
        <v>0</v>
      </c>
      <c r="F43" s="196" t="n">
        <f aca="false">ASS!$C$58*(1+ASS!$E$58)^(F6-ASS!$C$41)*F7/12</f>
        <v>0</v>
      </c>
      <c r="G43" s="197" t="n">
        <f aca="false">SUM(D43:F43)</f>
        <v>0</v>
      </c>
    </row>
    <row r="44" customFormat="false" ht="12.75" hidden="false" customHeight="false" outlineLevel="0" collapsed="false">
      <c r="A44" s="29" t="str">
        <f aca="false">ASS!A60</f>
        <v>Other</v>
      </c>
      <c r="B44" s="30"/>
      <c r="C44" s="30"/>
      <c r="D44" s="196" t="n">
        <f aca="false">ASS!$C$59*(1+ASS!$E$59)^(D6-ASS!$C$41)*D7/12</f>
        <v>0</v>
      </c>
      <c r="E44" s="196" t="n">
        <f aca="false">ASS!$C$59*(1+ASS!$E$59)^(E6-ASS!$C$41)*E7/12</f>
        <v>0</v>
      </c>
      <c r="F44" s="196" t="n">
        <f aca="false">ASS!$C$59*(1+ASS!$E$59)^(F6-ASS!$C$41)*F7/12</f>
        <v>0</v>
      </c>
      <c r="G44" s="197" t="n">
        <f aca="false">SUM(D44:F44)</f>
        <v>0</v>
      </c>
    </row>
    <row r="45" customFormat="false" ht="12.75" hidden="false" customHeight="false" outlineLevel="0" collapsed="false">
      <c r="A45" s="29" t="s">
        <v>211</v>
      </c>
      <c r="B45" s="30"/>
      <c r="C45" s="30"/>
      <c r="D45" s="196" t="n">
        <f aca="false">SUM(D42:D44)</f>
        <v>0</v>
      </c>
      <c r="E45" s="196" t="n">
        <f aca="false">SUM(E42:E44)</f>
        <v>0</v>
      </c>
      <c r="F45" s="196" t="n">
        <f aca="false">SUM(F42:F44)</f>
        <v>0</v>
      </c>
      <c r="G45" s="197" t="n">
        <f aca="false">SUM(D45:F45)</f>
        <v>0</v>
      </c>
    </row>
    <row r="46" customFormat="false" ht="12.75" hidden="false" customHeight="false" outlineLevel="0" collapsed="false">
      <c r="A46" s="29"/>
      <c r="B46" s="30"/>
      <c r="C46" s="30"/>
      <c r="D46" s="196"/>
      <c r="E46" s="196"/>
      <c r="F46" s="196"/>
      <c r="G46" s="197"/>
    </row>
    <row r="47" customFormat="false" ht="12.75" hidden="false" customHeight="false" outlineLevel="0" collapsed="false">
      <c r="A47" s="29" t="s">
        <v>212</v>
      </c>
      <c r="B47" s="30"/>
      <c r="C47" s="30"/>
      <c r="D47" s="196" t="n">
        <f aca="false">D39+D45</f>
        <v>45.9</v>
      </c>
      <c r="E47" s="196" t="n">
        <f aca="false">E39+E45</f>
        <v>46.818</v>
      </c>
      <c r="F47" s="196" t="n">
        <f aca="false">F39+F45</f>
        <v>47.75436</v>
      </c>
      <c r="G47" s="197" t="n">
        <f aca="false">SUM(D47:F47)</f>
        <v>140.47236</v>
      </c>
    </row>
    <row r="48" customFormat="false" ht="12.75" hidden="false" customHeight="false" outlineLevel="0" collapsed="false">
      <c r="A48" s="29"/>
      <c r="B48" s="30"/>
      <c r="C48" s="30"/>
      <c r="D48" s="196"/>
      <c r="E48" s="196"/>
      <c r="F48" s="196"/>
      <c r="G48" s="197"/>
    </row>
    <row r="49" customFormat="false" ht="12.75" hidden="false" customHeight="false" outlineLevel="0" collapsed="false">
      <c r="A49" s="35" t="s">
        <v>213</v>
      </c>
      <c r="B49" s="96"/>
      <c r="C49" s="96"/>
      <c r="D49" s="198" t="n">
        <f aca="false">D47</f>
        <v>45.9</v>
      </c>
      <c r="E49" s="198" t="n">
        <f aca="false">E47</f>
        <v>46.818</v>
      </c>
      <c r="F49" s="198" t="n">
        <f aca="false">F47</f>
        <v>47.75436</v>
      </c>
      <c r="G49" s="199" t="n">
        <f aca="false">G47</f>
        <v>140.47236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</row>
    <row r="50" customFormat="false" ht="12.75" hidden="false" customHeight="false" outlineLevel="0" collapsed="false">
      <c r="A50" s="29"/>
      <c r="B50" s="30"/>
      <c r="C50" s="30"/>
      <c r="D50" s="30"/>
      <c r="E50" s="30"/>
      <c r="F50" s="30"/>
      <c r="G50" s="193"/>
    </row>
    <row r="51" customFormat="false" ht="12.75" hidden="false" customHeight="false" outlineLevel="0" collapsed="false">
      <c r="A51" s="35" t="s">
        <v>214</v>
      </c>
      <c r="B51" s="96"/>
      <c r="C51" s="198" t="s">
        <v>215</v>
      </c>
      <c r="D51" s="198" t="n">
        <f aca="false">D20-D49</f>
        <v>7054.1</v>
      </c>
      <c r="E51" s="198" t="n">
        <f aca="false">E20-E49</f>
        <v>6153.182</v>
      </c>
      <c r="F51" s="198" t="n">
        <f aca="false">F20-F49</f>
        <v>5252.24564</v>
      </c>
      <c r="G51" s="199" t="n">
        <f aca="false">SUM(D51:F51)</f>
        <v>18459.52764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</row>
    <row r="52" customFormat="false" ht="12.75" hidden="false" customHeight="false" outlineLevel="0" collapsed="false">
      <c r="A52" s="29" t="s">
        <v>216</v>
      </c>
      <c r="B52" s="30"/>
      <c r="C52" s="30"/>
      <c r="D52" s="203" t="n">
        <v>0</v>
      </c>
      <c r="E52" s="203" t="n">
        <v>0</v>
      </c>
      <c r="F52" s="203" t="n">
        <v>0</v>
      </c>
      <c r="G52" s="204" t="n">
        <f aca="false">SUM(D52:F52)</f>
        <v>0</v>
      </c>
      <c r="H52" s="205" t="str">
        <f aca="false">IF(ABS(-$G$52-ASS!$I$21)&lt;0.1," ","WARNING:  CHECK DEPRECIATION")</f>
        <v>WARNING:  CHECK DEPRECIATION</v>
      </c>
    </row>
    <row r="53" customFormat="false" ht="12.75" hidden="false" customHeight="false" outlineLevel="0" collapsed="false">
      <c r="A53" s="29"/>
      <c r="B53" s="30"/>
      <c r="C53" s="30"/>
      <c r="D53" s="196"/>
      <c r="E53" s="196"/>
      <c r="F53" s="196"/>
      <c r="G53" s="197"/>
      <c r="H53" s="0"/>
      <c r="I53" s="0"/>
    </row>
    <row r="54" customFormat="false" ht="12.75" hidden="false" customHeight="false" outlineLevel="0" collapsed="false">
      <c r="A54" s="35" t="s">
        <v>217</v>
      </c>
      <c r="B54" s="96"/>
      <c r="C54" s="96"/>
      <c r="D54" s="198" t="n">
        <f aca="false">SUM(D51:D52)</f>
        <v>7054.1</v>
      </c>
      <c r="E54" s="198" t="n">
        <f aca="false">SUM(E51:E52)</f>
        <v>6153.182</v>
      </c>
      <c r="F54" s="198" t="n">
        <f aca="false">SUM(F51:F52)</f>
        <v>5252.24564</v>
      </c>
      <c r="G54" s="199" t="n">
        <f aca="false">SUM(D54:F54)</f>
        <v>18459.52764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</row>
    <row r="55" customFormat="false" ht="12.75" hidden="false" customHeight="false" outlineLevel="0" collapsed="false">
      <c r="A55" s="29" t="s">
        <v>218</v>
      </c>
      <c r="B55" s="30"/>
      <c r="C55" s="30"/>
      <c r="D55" s="196" t="n">
        <f aca="false">-FIN!D10</f>
        <v>-0</v>
      </c>
      <c r="E55" s="196" t="n">
        <f aca="false">-FIN!E10</f>
        <v>-0</v>
      </c>
      <c r="F55" s="196" t="n">
        <f aca="false">-FIN!F10</f>
        <v>-0</v>
      </c>
      <c r="G55" s="197" t="n">
        <f aca="false">SUM(D55:F55)</f>
        <v>0</v>
      </c>
      <c r="H55" s="5" t="str">
        <f aca="false">IF(ABS(-$G$55-FIN!$AD$10)&lt;0.01," ","CHECK:  DOES NOT EQUAL INTEREST PAYMENTS MADE")</f>
        <v> </v>
      </c>
    </row>
    <row r="56" customFormat="false" ht="12.75" hidden="false" customHeight="false" outlineLevel="0" collapsed="false">
      <c r="A56" s="29"/>
      <c r="B56" s="30"/>
      <c r="C56" s="30"/>
      <c r="D56" s="203"/>
      <c r="E56" s="203"/>
      <c r="F56" s="203"/>
      <c r="G56" s="204"/>
    </row>
    <row r="57" customFormat="false" ht="12.75" hidden="false" customHeight="false" outlineLevel="0" collapsed="false">
      <c r="A57" s="35" t="s">
        <v>219</v>
      </c>
      <c r="B57" s="96"/>
      <c r="C57" s="96"/>
      <c r="D57" s="198" t="n">
        <f aca="false">SUM(D54:D55)</f>
        <v>7054.1</v>
      </c>
      <c r="E57" s="198" t="n">
        <f aca="false">SUM(E54:E55)</f>
        <v>6153.182</v>
      </c>
      <c r="F57" s="198" t="n">
        <f aca="false">SUM(F54:F55)</f>
        <v>5252.24564</v>
      </c>
      <c r="G57" s="199" t="n">
        <f aca="false">SUM(D57:F57)</f>
        <v>18459.52764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</row>
    <row r="58" customFormat="false" ht="12.75" hidden="false" customHeight="false" outlineLevel="0" collapsed="false">
      <c r="A58" s="29" t="s">
        <v>220</v>
      </c>
      <c r="B58" s="105"/>
      <c r="C58" s="30"/>
      <c r="D58" s="203" t="n">
        <v>0</v>
      </c>
      <c r="E58" s="203" t="n">
        <v>0</v>
      </c>
      <c r="F58" s="203" t="n">
        <v>0</v>
      </c>
      <c r="G58" s="206" t="n">
        <f aca="false">SUM(D58:F58)</f>
        <v>0</v>
      </c>
    </row>
    <row r="59" customFormat="false" ht="12.75" hidden="false" customHeight="false" outlineLevel="0" collapsed="false">
      <c r="A59" s="29"/>
      <c r="B59" s="30"/>
      <c r="C59" s="30"/>
      <c r="D59" s="196"/>
      <c r="E59" s="196"/>
      <c r="F59" s="196"/>
      <c r="G59" s="197"/>
    </row>
    <row r="60" customFormat="false" ht="12.75" hidden="false" customHeight="false" outlineLevel="0" collapsed="false">
      <c r="A60" s="207" t="s">
        <v>221</v>
      </c>
      <c r="B60" s="208"/>
      <c r="C60" s="208"/>
      <c r="D60" s="209" t="n">
        <f aca="false">SUM(D57:D58)</f>
        <v>7054.1</v>
      </c>
      <c r="E60" s="209" t="n">
        <f aca="false">SUM(E57:E58)</f>
        <v>6153.182</v>
      </c>
      <c r="F60" s="209" t="n">
        <f aca="false">SUM(F57:F58)</f>
        <v>5252.24564</v>
      </c>
      <c r="G60" s="210" t="n">
        <f aca="false">SUM(D60:F60)</f>
        <v>18459.52764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</row>
    <row r="61" customFormat="false" ht="12.75" hidden="false" customHeight="false" outlineLevel="0" collapsed="false">
      <c r="A61" s="29" t="s">
        <v>222</v>
      </c>
      <c r="B61" s="30"/>
      <c r="C61" s="30"/>
      <c r="D61" s="196" t="n">
        <v>0</v>
      </c>
      <c r="E61" s="196" t="n">
        <v>0</v>
      </c>
      <c r="F61" s="196" t="n">
        <v>0</v>
      </c>
      <c r="G61" s="197" t="n">
        <f aca="false">SUM(D61:F61)</f>
        <v>0</v>
      </c>
    </row>
    <row r="62" customFormat="false" ht="12.75" hidden="false" customHeight="false" outlineLevel="0" collapsed="false">
      <c r="A62" s="29" t="s">
        <v>223</v>
      </c>
      <c r="B62" s="30"/>
      <c r="C62" s="30"/>
      <c r="D62" s="196" t="n">
        <f aca="false">IF(D5=TERM,SPARES,0)</f>
        <v>0</v>
      </c>
      <c r="E62" s="196" t="n">
        <f aca="false">IF(E5=TERM,SPARES,0)</f>
        <v>0</v>
      </c>
      <c r="F62" s="196" t="n">
        <f aca="false">IF(F5=TERM,SPARES,0)</f>
        <v>0</v>
      </c>
      <c r="G62" s="197" t="n">
        <f aca="false">SUM(D62:F62)</f>
        <v>0</v>
      </c>
    </row>
    <row r="63" customFormat="false" ht="12.75" hidden="false" customHeight="false" outlineLevel="0" collapsed="false">
      <c r="A63" s="29" t="s">
        <v>224</v>
      </c>
      <c r="B63" s="30" t="s">
        <v>225</v>
      </c>
      <c r="C63" s="30"/>
      <c r="D63" s="196" t="n">
        <f aca="false">IF(D5=TERM,WCAP,0)</f>
        <v>0</v>
      </c>
      <c r="E63" s="196" t="n">
        <f aca="false">IF(E5=TERM,WCAP,0)</f>
        <v>0</v>
      </c>
      <c r="F63" s="196" t="n">
        <f aca="false">IF(F5=TERM,WCAP,0)</f>
        <v>0</v>
      </c>
      <c r="G63" s="197" t="n">
        <f aca="false">SUM(D63:F63)</f>
        <v>0</v>
      </c>
    </row>
    <row r="64" customFormat="false" ht="12.75" hidden="false" customHeight="false" outlineLevel="0" collapsed="false">
      <c r="A64" s="29" t="s">
        <v>226</v>
      </c>
      <c r="B64" s="30"/>
      <c r="C64" s="211"/>
      <c r="D64" s="196" t="n">
        <f aca="false">-D58</f>
        <v>-0</v>
      </c>
      <c r="E64" s="196" t="n">
        <f aca="false">-E58</f>
        <v>-0</v>
      </c>
      <c r="F64" s="196" t="n">
        <f aca="false">-F58</f>
        <v>-0</v>
      </c>
      <c r="G64" s="197" t="n">
        <f aca="false">SUM(D64:F64)</f>
        <v>0</v>
      </c>
    </row>
    <row r="65" customFormat="false" ht="12.75" hidden="false" customHeight="false" outlineLevel="0" collapsed="false">
      <c r="A65" s="29" t="s">
        <v>227</v>
      </c>
      <c r="B65" s="30"/>
      <c r="C65" s="211"/>
      <c r="D65" s="212" t="n">
        <f aca="false">-ASS!$C$57*(1+ASS!$E$57)^(D6-ASS!$C$41)*D7/12</f>
        <v>-0</v>
      </c>
      <c r="E65" s="212" t="n">
        <f aca="false">-ASS!$C$57*(1+ASS!$E$57)^(E6-ASS!$C$41)*E7/12</f>
        <v>-0</v>
      </c>
      <c r="F65" s="212" t="n">
        <f aca="false">-ASS!$C$57*(1+ASS!$E$57)^(F6-ASS!$C$41)*F7/12</f>
        <v>-0</v>
      </c>
      <c r="G65" s="197" t="n">
        <f aca="false">SUM(D65:F65)</f>
        <v>0</v>
      </c>
    </row>
    <row r="66" customFormat="false" ht="12.75" hidden="false" customHeight="false" outlineLevel="0" collapsed="false">
      <c r="A66" s="29" t="s">
        <v>228</v>
      </c>
      <c r="B66" s="30"/>
      <c r="C66" s="211"/>
      <c r="D66" s="212" t="n">
        <f aca="false">IF(-D65&gt;D42,D42,IF(D42&gt;(BS_IS!F9+(-D65)),BS_IS!F9+(-D65),D42))</f>
        <v>0</v>
      </c>
      <c r="E66" s="212" t="n">
        <f aca="false">IF(-E65&gt;E42,E42,IF(E42&gt;(BS_IS!G9+(-E65)),BS_IS!G9+(-E65),E42))</f>
        <v>0</v>
      </c>
      <c r="F66" s="212" t="n">
        <f aca="false">IF(-F65&gt;F42,F42,IF(F42&gt;(BS_IS!H9+(-F65)),BS_IS!H9+(-F65),F42))</f>
        <v>0</v>
      </c>
      <c r="G66" s="197" t="n">
        <f aca="false">SUM(D66:F66)</f>
        <v>0</v>
      </c>
    </row>
    <row r="67" customFormat="false" ht="12.75" hidden="false" customHeight="false" outlineLevel="0" collapsed="false">
      <c r="A67" s="29" t="s">
        <v>229</v>
      </c>
      <c r="B67" s="30"/>
      <c r="C67" s="30"/>
      <c r="D67" s="213" t="n">
        <v>0</v>
      </c>
      <c r="E67" s="213" t="n">
        <v>0</v>
      </c>
      <c r="F67" s="213" t="n">
        <v>0</v>
      </c>
      <c r="G67" s="197" t="n">
        <f aca="false">SUM(D67:F67)</f>
        <v>0</v>
      </c>
      <c r="H67" s="214" t="str">
        <f aca="false">IF(ABS(-G67-TAXES_FEES!$G$16)&lt;0.01," ","CHECK:  TOTAL CASH TAXES DOES NOT MATCH TOTAL CASH TAXES CALCD")</f>
        <v>CHECK:  TOTAL CASH TAXES DOES NOT MATCH TOTAL CASH TAXES CALCD</v>
      </c>
      <c r="I67" s="215"/>
    </row>
    <row r="68" customFormat="false" ht="12.75" hidden="false" customHeight="false" outlineLevel="0" collapsed="false">
      <c r="A68" s="29" t="s">
        <v>230</v>
      </c>
      <c r="B68" s="30"/>
      <c r="C68" s="30"/>
      <c r="D68" s="196" t="n">
        <f aca="false">-FIN!D11</f>
        <v>-0</v>
      </c>
      <c r="E68" s="196" t="n">
        <v>0</v>
      </c>
      <c r="F68" s="196" t="n">
        <v>0</v>
      </c>
      <c r="G68" s="197" t="n">
        <f aca="false">SUM(D68:F68)</f>
        <v>0</v>
      </c>
      <c r="H68" s="216" t="str">
        <f aca="false">IF(ABS(-$G$68-DEBT)&lt;0.01," ","CHECK:  DOES NOT EQUAL PRINCIPAL PAYMENTS MADE")</f>
        <v> </v>
      </c>
      <c r="I68" s="215"/>
    </row>
    <row r="69" customFormat="false" ht="12.75" hidden="false" customHeight="false" outlineLevel="0" collapsed="false">
      <c r="A69" s="217" t="s">
        <v>231</v>
      </c>
      <c r="B69" s="218"/>
      <c r="C69" s="218"/>
      <c r="D69" s="219" t="n">
        <f aca="false">SUM(D60:D68)</f>
        <v>7054.1</v>
      </c>
      <c r="E69" s="219" t="n">
        <f aca="false">SUM(E60:E68)</f>
        <v>6153.182</v>
      </c>
      <c r="F69" s="219" t="n">
        <f aca="false">SUM(F60:F68)</f>
        <v>5252.24564</v>
      </c>
      <c r="G69" s="220" t="n">
        <f aca="false">SUM(G60:G68)</f>
        <v>18459.52764</v>
      </c>
    </row>
    <row r="70" customFormat="false" ht="12.75" hidden="false" customHeight="false" outlineLevel="0" collapsed="false">
      <c r="A70" s="29"/>
      <c r="B70" s="30"/>
      <c r="C70" s="30"/>
      <c r="D70" s="30"/>
      <c r="E70" s="30"/>
      <c r="F70" s="30"/>
      <c r="G70" s="193"/>
    </row>
    <row r="71" customFormat="false" ht="12.75" hidden="false" customHeight="false" outlineLevel="0" collapsed="false">
      <c r="A71" s="168" t="s">
        <v>232</v>
      </c>
      <c r="B71" s="130" t="s">
        <v>233</v>
      </c>
      <c r="C71" s="130"/>
      <c r="D71" s="221" t="n">
        <f aca="false">IF(equityperc&gt;0.99,0,IF(D5&gt;MAX(ASS!$X$32,ASS!$X$40,ASS!$X$48,ASS!$X$56,ASS!$X$64,ASS!$X$72),"n/a",(D51+D42)/(FIN!D12-#REF!)))</f>
        <v>0</v>
      </c>
      <c r="E71" s="221" t="n">
        <f aca="false">IF(equityperc&gt;0.99,0,IF(E5&gt;MAX(ASS!$X$32,ASS!$X$40,ASS!$X$48,ASS!$X$56,ASS!$X$64,ASS!$X$72),"n/a",(E51+E42)/(FIN!E12-#REF!)))</f>
        <v>0</v>
      </c>
      <c r="F71" s="221" t="n">
        <f aca="false">IF(equityperc&gt;0.99,0,IF(F5&gt;MAX(ASS!$X$32,ASS!$X$40,ASS!$X$48,ASS!$X$56,ASS!$X$64,ASS!$X$72),"n/a",(F51+F42)/(FIN!F12-#REF!)))</f>
        <v>0</v>
      </c>
      <c r="G71" s="193"/>
    </row>
    <row r="72" customFormat="false" ht="12.75" hidden="false" customHeight="false" outlineLevel="0" collapsed="false">
      <c r="A72" s="57" t="s">
        <v>234</v>
      </c>
      <c r="B72" s="58" t="s">
        <v>235</v>
      </c>
      <c r="C72" s="58"/>
      <c r="D72" s="222" t="n">
        <f aca="false">IF(equityperc&gt;0.99,0,IF(D5&gt;MAX(ASS!$X$32,ASS!$X$40,ASS!$X$48,ASS!$X$56,ASS!$X$64,ASS!$X$72),"n/a",(D51+D67+D42)/(FIN!D12-#REF!)))</f>
        <v>0</v>
      </c>
      <c r="E72" s="222" t="n">
        <f aca="false">IF(equityperc&gt;0.99,0,IF(E5&gt;MAX(ASS!$X$32,ASS!$X$40,ASS!$X$48,ASS!$X$56,ASS!$X$64,ASS!$X$72),"n/a",(E51+E67+E42)/(FIN!E12-#REF!)))</f>
        <v>0</v>
      </c>
      <c r="F72" s="222" t="n">
        <f aca="false">IF(equityperc&gt;0.99,0,IF(F5&gt;MAX(ASS!$X$32,ASS!$X$40,ASS!$X$48,ASS!$X$56,ASS!$X$64,ASS!$X$72),"n/a",(F51+F67+F42)/(FIN!F12-#REF!)))</f>
        <v>0</v>
      </c>
      <c r="G72" s="191"/>
    </row>
    <row r="75" customFormat="false" ht="12.75" hidden="false" customHeight="false" outlineLevel="0" collapsed="false">
      <c r="A75" s="223"/>
      <c r="B75" s="223"/>
      <c r="C75" s="223"/>
      <c r="D75" s="223"/>
      <c r="E75" s="223"/>
      <c r="F75" s="223"/>
    </row>
    <row r="76" customFormat="false" ht="12.75" hidden="false" customHeight="false" outlineLevel="0" collapsed="false">
      <c r="B76" s="224"/>
      <c r="C76" s="224"/>
      <c r="D76" s="224"/>
      <c r="E76" s="224"/>
      <c r="F76" s="224"/>
    </row>
    <row r="82" customFormat="false" ht="12.75" hidden="false" customHeight="false" outlineLevel="0" collapsed="false">
      <c r="A82" s="225"/>
    </row>
    <row r="83" customFormat="false" ht="12.75" hidden="false" customHeight="false" outlineLevel="0" collapsed="false">
      <c r="A83" s="225"/>
    </row>
    <row r="84" customFormat="false" ht="12.75" hidden="false" customHeight="false" outlineLevel="0" collapsed="false">
      <c r="A84" s="225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7" activeCellId="0" sqref="G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7.99"/>
    <col collapsed="false" customWidth="true" hidden="false" outlineLevel="0" max="2" min="2" style="1" width="31.99"/>
    <col collapsed="false" customWidth="true" hidden="false" outlineLevel="0" max="3" min="3" style="1" width="3.7"/>
    <col collapsed="false" customWidth="false" hidden="false" outlineLevel="0" max="7" min="4" style="1" width="9.14"/>
    <col collapsed="false" customWidth="true" hidden="false" outlineLevel="0" max="8" min="8" style="1" width="9.85"/>
    <col collapsed="false" customWidth="false" hidden="false" outlineLevel="0" max="257" min="9" style="1" width="9.14"/>
  </cols>
  <sheetData>
    <row r="1" customFormat="false" ht="15.75" hidden="false" customHeight="false" outlineLevel="0" collapsed="false">
      <c r="A1" s="2" t="s">
        <v>236</v>
      </c>
      <c r="B1" s="226"/>
    </row>
    <row r="2" customFormat="false" ht="15.75" hidden="false" customHeight="false" outlineLevel="0" collapsed="false">
      <c r="A2" s="185" t="n">
        <f aca="false">ASS!A4</f>
        <v>0</v>
      </c>
      <c r="B2" s="227"/>
    </row>
    <row r="3" customFormat="false" ht="15.75" hidden="false" customHeight="false" outlineLevel="0" collapsed="false">
      <c r="A3" s="186" t="str">
        <f aca="false">ASS!A5</f>
        <v>BASE MODEL</v>
      </c>
      <c r="B3" s="228"/>
      <c r="D3" s="229"/>
      <c r="F3" s="225"/>
    </row>
    <row r="5" customFormat="false" ht="12.75" hidden="false" customHeight="false" outlineLevel="0" collapsed="false">
      <c r="A5" s="18" t="s">
        <v>237</v>
      </c>
      <c r="B5" s="15"/>
      <c r="C5" s="15"/>
      <c r="D5" s="15" t="n">
        <f aca="false">IF(D6&lt;STARTYR,0,#REF!+1)</f>
        <v>0</v>
      </c>
      <c r="E5" s="15" t="n">
        <f aca="false">IF(E6&lt;STARTYR,0,D5+1)</f>
        <v>1</v>
      </c>
      <c r="F5" s="15" t="n">
        <f aca="false">IF(F6&lt;STARTYR,0,E5+1)</f>
        <v>2</v>
      </c>
      <c r="G5" s="15" t="n">
        <f aca="false">IF(G6&lt;STARTYR,0,F5+1)</f>
        <v>3</v>
      </c>
      <c r="H5" s="187"/>
    </row>
    <row r="6" customFormat="false" ht="12.75" hidden="false" customHeight="false" outlineLevel="0" collapsed="false">
      <c r="A6" s="230" t="s">
        <v>195</v>
      </c>
      <c r="B6" s="58"/>
      <c r="C6" s="58"/>
      <c r="D6" s="166" t="n">
        <f aca="false">E6-1</f>
        <v>2000</v>
      </c>
      <c r="E6" s="166" t="n">
        <f aca="false">CF!D6</f>
        <v>2001</v>
      </c>
      <c r="F6" s="166" t="n">
        <f aca="false">CF!E6</f>
        <v>2002</v>
      </c>
      <c r="G6" s="166" t="n">
        <f aca="false">CF!F6</f>
        <v>2003</v>
      </c>
      <c r="H6" s="231" t="s">
        <v>196</v>
      </c>
    </row>
    <row r="7" customFormat="false" ht="12.75" hidden="false" customHeight="false" outlineLevel="0" collapsed="false">
      <c r="A7" s="29"/>
      <c r="B7" s="30"/>
      <c r="C7" s="30"/>
      <c r="D7" s="30"/>
      <c r="E7" s="30"/>
      <c r="F7" s="30"/>
      <c r="G7" s="30"/>
      <c r="H7" s="34"/>
    </row>
    <row r="8" customFormat="false" ht="12.75" hidden="false" customHeight="false" outlineLevel="0" collapsed="false">
      <c r="A8" s="13" t="s">
        <v>238</v>
      </c>
      <c r="B8" s="15"/>
      <c r="C8" s="15"/>
      <c r="D8" s="15"/>
      <c r="E8" s="15"/>
      <c r="F8" s="15"/>
      <c r="G8" s="15"/>
      <c r="H8" s="187"/>
    </row>
    <row r="9" customFormat="false" ht="12.75" hidden="false" customHeight="false" outlineLevel="0" collapsed="false">
      <c r="A9" s="29"/>
      <c r="B9" s="30" t="s">
        <v>239</v>
      </c>
      <c r="C9" s="30"/>
      <c r="D9" s="211" t="n">
        <f aca="false">-EQUITY</f>
        <v>-13000</v>
      </c>
      <c r="E9" s="232" t="n">
        <v>0</v>
      </c>
      <c r="F9" s="211" t="n">
        <f aca="false">E9</f>
        <v>0</v>
      </c>
      <c r="G9" s="211" t="n">
        <f aca="false">F9</f>
        <v>0</v>
      </c>
      <c r="H9" s="197" t="n">
        <f aca="false">SUM(D9:G9)</f>
        <v>-13000</v>
      </c>
      <c r="I9" s="5" t="str">
        <f aca="false">IF(ABS(H9+EQUITY)&lt;0.1," ","CHECK")</f>
        <v> </v>
      </c>
    </row>
    <row r="10" customFormat="false" ht="12.75" hidden="false" customHeight="false" outlineLevel="0" collapsed="false">
      <c r="A10" s="29"/>
      <c r="B10" s="30" t="s">
        <v>240</v>
      </c>
      <c r="C10" s="30"/>
      <c r="D10" s="233" t="n">
        <f aca="false">CF!C69</f>
        <v>0</v>
      </c>
      <c r="E10" s="233" t="n">
        <f aca="false">CF!D69</f>
        <v>7054.1</v>
      </c>
      <c r="F10" s="233" t="n">
        <f aca="false">CF!E69</f>
        <v>6153.182</v>
      </c>
      <c r="G10" s="233" t="n">
        <f aca="false">CF!F69</f>
        <v>5252.24564</v>
      </c>
      <c r="H10" s="204" t="n">
        <f aca="false">SUM(D10:G10)</f>
        <v>18459.52764</v>
      </c>
      <c r="I10" s="5" t="str">
        <f aca="false">IF(ABS($H$10-CF!$G$69)&lt;0.01," ","CHECK:  DOES NOT EQUAL TOTAL CF DISTRIBUTED")</f>
        <v> </v>
      </c>
    </row>
    <row r="11" customFormat="false" ht="12.75" hidden="false" customHeight="false" outlineLevel="0" collapsed="false">
      <c r="A11" s="109"/>
      <c r="B11" s="30" t="s">
        <v>241</v>
      </c>
      <c r="C11" s="30"/>
      <c r="D11" s="234" t="n">
        <f aca="false">SUM(D9:D10)</f>
        <v>-13000</v>
      </c>
      <c r="E11" s="234" t="n">
        <f aca="false">SUM(E9:E10)</f>
        <v>7054.1</v>
      </c>
      <c r="F11" s="234" t="n">
        <f aca="false">SUM(F9:F10)</f>
        <v>6153.182</v>
      </c>
      <c r="G11" s="234" t="n">
        <f aca="false">SUM(G9:G10)</f>
        <v>5252.24564</v>
      </c>
      <c r="H11" s="235" t="n">
        <f aca="false">SUM(H9:H10)</f>
        <v>5459.52764</v>
      </c>
      <c r="I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  <c r="AE11" s="236"/>
      <c r="AF11" s="236"/>
      <c r="AG11" s="236"/>
      <c r="AH11" s="236"/>
      <c r="AI11" s="236"/>
      <c r="AJ11" s="236"/>
      <c r="AK11" s="236"/>
      <c r="AL11" s="236"/>
      <c r="AM11" s="236"/>
      <c r="AN11" s="236"/>
      <c r="AO11" s="236"/>
      <c r="AP11" s="236"/>
      <c r="AQ11" s="236"/>
      <c r="AR11" s="236"/>
      <c r="AS11" s="236"/>
      <c r="AT11" s="236"/>
      <c r="AU11" s="236"/>
      <c r="AV11" s="236"/>
      <c r="AW11" s="236"/>
      <c r="AX11" s="236"/>
      <c r="AY11" s="236"/>
      <c r="AZ11" s="236"/>
      <c r="BA11" s="236"/>
      <c r="BB11" s="236"/>
      <c r="BC11" s="236"/>
      <c r="BD11" s="236"/>
      <c r="BE11" s="236"/>
      <c r="BF11" s="236"/>
      <c r="BG11" s="236"/>
      <c r="BH11" s="236"/>
      <c r="BI11" s="236"/>
      <c r="BJ11" s="236"/>
      <c r="BK11" s="236"/>
      <c r="BL11" s="236"/>
      <c r="BM11" s="236"/>
      <c r="BN11" s="236"/>
      <c r="BO11" s="236"/>
      <c r="BP11" s="236"/>
      <c r="BQ11" s="236"/>
      <c r="BR11" s="236"/>
      <c r="BS11" s="236"/>
      <c r="BT11" s="236"/>
      <c r="BU11" s="236"/>
      <c r="BV11" s="236"/>
      <c r="BW11" s="236"/>
      <c r="BX11" s="236"/>
      <c r="BY11" s="236"/>
      <c r="BZ11" s="236"/>
      <c r="CA11" s="236"/>
      <c r="CB11" s="236"/>
      <c r="CC11" s="236"/>
      <c r="CD11" s="236"/>
      <c r="CE11" s="236"/>
      <c r="CF11" s="236"/>
      <c r="CG11" s="236"/>
      <c r="CH11" s="236"/>
      <c r="CI11" s="236"/>
      <c r="CJ11" s="236"/>
      <c r="CK11" s="236"/>
      <c r="CL11" s="236"/>
      <c r="CM11" s="236"/>
      <c r="CN11" s="236"/>
      <c r="CO11" s="236"/>
      <c r="CP11" s="236"/>
      <c r="CQ11" s="236"/>
      <c r="CR11" s="236"/>
      <c r="CS11" s="236"/>
      <c r="CT11" s="236"/>
      <c r="CU11" s="236"/>
      <c r="CV11" s="236"/>
      <c r="CW11" s="236"/>
      <c r="CX11" s="236"/>
      <c r="CY11" s="236"/>
      <c r="CZ11" s="236"/>
      <c r="DA11" s="236"/>
      <c r="DB11" s="236"/>
      <c r="DC11" s="236"/>
      <c r="DD11" s="236"/>
      <c r="DE11" s="236"/>
      <c r="DF11" s="236"/>
      <c r="DG11" s="236"/>
      <c r="DH11" s="236"/>
      <c r="DI11" s="236"/>
      <c r="DJ11" s="236"/>
      <c r="DK11" s="236"/>
      <c r="DL11" s="236"/>
      <c r="DM11" s="236"/>
      <c r="DN11" s="236"/>
      <c r="DO11" s="236"/>
      <c r="DP11" s="236"/>
      <c r="DQ11" s="236"/>
      <c r="DR11" s="236"/>
      <c r="DS11" s="236"/>
      <c r="DT11" s="236"/>
      <c r="DU11" s="236"/>
      <c r="DV11" s="236"/>
      <c r="DW11" s="236"/>
      <c r="DX11" s="236"/>
      <c r="DY11" s="236"/>
      <c r="DZ11" s="236"/>
      <c r="EA11" s="236"/>
      <c r="EB11" s="236"/>
      <c r="EC11" s="236"/>
      <c r="ED11" s="236"/>
      <c r="EE11" s="236"/>
      <c r="EF11" s="236"/>
      <c r="EG11" s="236"/>
      <c r="EH11" s="236"/>
      <c r="EI11" s="236"/>
      <c r="EJ11" s="236"/>
      <c r="EK11" s="236"/>
      <c r="EL11" s="236"/>
      <c r="EM11" s="236"/>
      <c r="EN11" s="236"/>
      <c r="EO11" s="236"/>
      <c r="EP11" s="236"/>
      <c r="EQ11" s="236"/>
      <c r="ER11" s="236"/>
      <c r="ES11" s="236"/>
      <c r="ET11" s="236"/>
      <c r="EU11" s="236"/>
      <c r="EV11" s="236"/>
      <c r="EW11" s="236"/>
      <c r="EX11" s="236"/>
      <c r="EY11" s="236"/>
      <c r="EZ11" s="236"/>
      <c r="FA11" s="236"/>
      <c r="FB11" s="236"/>
      <c r="FC11" s="236"/>
      <c r="FD11" s="236"/>
      <c r="FE11" s="236"/>
      <c r="FF11" s="236"/>
      <c r="FG11" s="236"/>
      <c r="FH11" s="236"/>
      <c r="FI11" s="236"/>
      <c r="FJ11" s="236"/>
      <c r="FK11" s="236"/>
      <c r="FL11" s="236"/>
      <c r="FM11" s="236"/>
      <c r="FN11" s="236"/>
      <c r="FO11" s="236"/>
      <c r="FP11" s="236"/>
      <c r="FQ11" s="236"/>
      <c r="FR11" s="236"/>
      <c r="FS11" s="236"/>
      <c r="FT11" s="236"/>
      <c r="FU11" s="236"/>
      <c r="FV11" s="236"/>
      <c r="FW11" s="236"/>
      <c r="FX11" s="236"/>
      <c r="FY11" s="236"/>
      <c r="FZ11" s="236"/>
      <c r="GA11" s="236"/>
      <c r="GB11" s="236"/>
      <c r="GC11" s="236"/>
      <c r="GD11" s="236"/>
      <c r="GE11" s="236"/>
      <c r="GF11" s="236"/>
      <c r="GG11" s="236"/>
      <c r="GH11" s="236"/>
      <c r="GI11" s="236"/>
      <c r="GJ11" s="236"/>
      <c r="GK11" s="236"/>
      <c r="GL11" s="236"/>
      <c r="GM11" s="236"/>
      <c r="GN11" s="236"/>
      <c r="GO11" s="236"/>
      <c r="GP11" s="236"/>
      <c r="GQ11" s="236"/>
      <c r="GR11" s="236"/>
      <c r="GS11" s="236"/>
      <c r="GT11" s="236"/>
      <c r="GU11" s="236"/>
      <c r="GV11" s="236"/>
      <c r="GW11" s="236"/>
      <c r="GX11" s="236"/>
      <c r="GY11" s="236"/>
      <c r="GZ11" s="236"/>
      <c r="HA11" s="236"/>
      <c r="HB11" s="236"/>
      <c r="HC11" s="236"/>
      <c r="HD11" s="236"/>
      <c r="HE11" s="236"/>
      <c r="HF11" s="236"/>
      <c r="HG11" s="236"/>
      <c r="HH11" s="236"/>
      <c r="HI11" s="236"/>
      <c r="HJ11" s="236"/>
      <c r="HK11" s="236"/>
      <c r="HL11" s="236"/>
      <c r="HM11" s="236"/>
      <c r="HN11" s="236"/>
      <c r="HO11" s="236"/>
      <c r="HP11" s="236"/>
      <c r="HQ11" s="236"/>
      <c r="HR11" s="236"/>
      <c r="HS11" s="236"/>
      <c r="HT11" s="236"/>
      <c r="HU11" s="236"/>
      <c r="HV11" s="236"/>
      <c r="HW11" s="236"/>
      <c r="HX11" s="236"/>
      <c r="HY11" s="236"/>
      <c r="HZ11" s="236"/>
      <c r="IA11" s="236"/>
      <c r="IB11" s="236"/>
      <c r="IC11" s="236"/>
      <c r="ID11" s="236"/>
      <c r="IE11" s="236"/>
      <c r="IF11" s="236"/>
      <c r="IG11" s="236"/>
      <c r="IH11" s="236"/>
      <c r="II11" s="236"/>
      <c r="IJ11" s="236"/>
      <c r="IK11" s="236"/>
      <c r="IL11" s="236"/>
      <c r="IM11" s="236"/>
      <c r="IN11" s="236"/>
      <c r="IO11" s="236"/>
      <c r="IP11" s="236"/>
      <c r="IQ11" s="236"/>
      <c r="IR11" s="236"/>
      <c r="IS11" s="236"/>
      <c r="IT11" s="236"/>
      <c r="IU11" s="236"/>
      <c r="IV11" s="236"/>
      <c r="IW11" s="236"/>
    </row>
    <row r="12" customFormat="false" ht="12.75" hidden="false" customHeight="false" outlineLevel="0" collapsed="false">
      <c r="A12" s="29"/>
      <c r="B12" s="30" t="s">
        <v>242</v>
      </c>
      <c r="C12" s="30"/>
      <c r="D12" s="196" t="n">
        <f aca="false">D11</f>
        <v>-13000</v>
      </c>
      <c r="E12" s="196" t="n">
        <f aca="false">$D$11+NPV(DISC,$E$11:E11)</f>
        <v>-6587.18181818182</v>
      </c>
      <c r="F12" s="196" t="n">
        <f aca="false">$D$11+NPV(DISC,$E$11:F11)</f>
        <v>-1501.90743801653</v>
      </c>
      <c r="G12" s="196" t="n">
        <f aca="false">$D$11+NPV(DISC,$E$11:G11)</f>
        <v>2444.18244928625</v>
      </c>
      <c r="H12" s="197" t="n">
        <f aca="false">SUM(D12:G12)</f>
        <v>-18644.9068069121</v>
      </c>
    </row>
    <row r="13" customFormat="false" ht="12.75" hidden="false" customHeight="false" outlineLevel="0" collapsed="false">
      <c r="A13" s="29"/>
      <c r="B13" s="30" t="s">
        <v>243</v>
      </c>
      <c r="C13" s="30"/>
      <c r="D13" s="72" t="e">
        <f aca="false">IRR($D$11:D11,-0.9)</f>
        <v>#N/A</v>
      </c>
      <c r="E13" s="72" t="n">
        <f aca="false">IRR($D$11:E11,-0.9)</f>
        <v>-0.457376923076923</v>
      </c>
      <c r="F13" s="72" t="n">
        <f aca="false">IRR($D$11:F11,-0.9)</f>
        <v>0.010859808157331</v>
      </c>
      <c r="G13" s="72" t="n">
        <f aca="false">IRR($D$11:G11,-0.9)</f>
        <v>0.209858597198111</v>
      </c>
      <c r="H13" s="193"/>
    </row>
    <row r="14" customFormat="false" ht="12.75" hidden="false" customHeight="false" outlineLevel="0" collapsed="false">
      <c r="A14" s="29"/>
      <c r="B14" s="30"/>
      <c r="C14" s="30"/>
      <c r="D14" s="237"/>
      <c r="E14" s="237"/>
      <c r="F14" s="237"/>
      <c r="G14" s="237"/>
      <c r="H14" s="238"/>
      <c r="I14" s="237"/>
      <c r="J14" s="30"/>
    </row>
    <row r="15" customFormat="false" ht="12.75" hidden="false" customHeight="false" outlineLevel="0" collapsed="false">
      <c r="A15" s="29"/>
      <c r="B15" s="96" t="s">
        <v>244</v>
      </c>
      <c r="C15" s="239" t="n">
        <f aca="false">DISC</f>
        <v>0.1</v>
      </c>
      <c r="D15" s="198" t="n">
        <f aca="false">G12</f>
        <v>2444.18244928625</v>
      </c>
      <c r="E15" s="198"/>
      <c r="F15" s="240"/>
      <c r="G15" s="241"/>
      <c r="H15" s="238"/>
      <c r="I15" s="237"/>
      <c r="J15" s="30"/>
    </row>
    <row r="16" customFormat="false" ht="12.75" hidden="false" customHeight="false" outlineLevel="0" collapsed="false">
      <c r="A16" s="29"/>
      <c r="B16" s="96" t="s">
        <v>245</v>
      </c>
      <c r="C16" s="30"/>
      <c r="D16" s="242" t="n">
        <f aca="false">G13</f>
        <v>0.209858597198111</v>
      </c>
      <c r="E16" s="242"/>
      <c r="F16" s="237"/>
      <c r="G16" s="237"/>
      <c r="H16" s="238"/>
      <c r="I16" s="237"/>
      <c r="J16" s="30"/>
    </row>
    <row r="17" customFormat="false" ht="12.75" hidden="false" customHeight="false" outlineLevel="0" collapsed="false">
      <c r="A17" s="57"/>
      <c r="B17" s="166" t="s">
        <v>246</v>
      </c>
      <c r="C17" s="58"/>
      <c r="D17" s="243" t="n">
        <f aca="false">MAX(F17:I17)</f>
        <v>2</v>
      </c>
      <c r="E17" s="244" t="n">
        <f aca="false">IF(AND(E12&gt;0,D12&lt;0),D5,0)</f>
        <v>0</v>
      </c>
      <c r="F17" s="244" t="n">
        <f aca="false">IF(AND(F12&gt;0,E12&lt;0),E5,0)</f>
        <v>0</v>
      </c>
      <c r="G17" s="244" t="n">
        <f aca="false">IF(AND(G12&gt;0,F12&lt;0),F5,0)</f>
        <v>2</v>
      </c>
      <c r="H17" s="245" t="n">
        <f aca="false">SUM(E17:G17)</f>
        <v>2</v>
      </c>
      <c r="I17" s="246"/>
      <c r="J17" s="30"/>
    </row>
    <row r="18" customFormat="false" ht="12.75" hidden="false" customHeight="false" outlineLevel="0" collapsed="false">
      <c r="A18" s="30"/>
      <c r="B18" s="30"/>
      <c r="C18" s="30"/>
      <c r="D18" s="237"/>
      <c r="E18" s="237"/>
      <c r="F18" s="237"/>
      <c r="G18" s="237"/>
      <c r="H18" s="237"/>
      <c r="I18" s="237"/>
      <c r="J18" s="237"/>
      <c r="K18" s="30"/>
    </row>
    <row r="19" customFormat="false" ht="12.75" hidden="false" customHeight="false" outlineLevel="0" collapsed="false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customFormat="false" ht="12.75" hidden="false" customHeight="false" outlineLevel="0" collapsed="false">
      <c r="A20" s="13" t="s">
        <v>247</v>
      </c>
      <c r="B20" s="15"/>
      <c r="C20" s="14"/>
      <c r="D20" s="15"/>
      <c r="E20" s="15"/>
      <c r="F20" s="15"/>
      <c r="G20" s="15"/>
      <c r="H20" s="187"/>
    </row>
    <row r="21" customFormat="false" ht="12.75" hidden="false" customHeight="false" outlineLevel="0" collapsed="false">
      <c r="A21" s="247" t="n">
        <f aca="false">ASS!$I$26</f>
        <v>1</v>
      </c>
      <c r="B21" s="30" t="s">
        <v>239</v>
      </c>
      <c r="C21" s="30"/>
      <c r="D21" s="211" t="n">
        <f aca="false">-EQUITY</f>
        <v>-13000</v>
      </c>
      <c r="E21" s="213" t="n">
        <v>0</v>
      </c>
      <c r="F21" s="211" t="n">
        <f aca="false">E21</f>
        <v>0</v>
      </c>
      <c r="G21" s="196" t="n">
        <f aca="false">G9*$A$21</f>
        <v>0</v>
      </c>
      <c r="H21" s="197" t="n">
        <f aca="false">SUM(D21:G21)</f>
        <v>-13000</v>
      </c>
    </row>
    <row r="22" customFormat="false" ht="12.75" hidden="false" customHeight="false" outlineLevel="0" collapsed="false">
      <c r="A22" s="247" t="n">
        <f aca="false">ASS!$J$26</f>
        <v>1</v>
      </c>
      <c r="B22" s="30" t="s">
        <v>240</v>
      </c>
      <c r="C22" s="30"/>
      <c r="D22" s="233" t="n">
        <f aca="false">CF!C81</f>
        <v>0</v>
      </c>
      <c r="E22" s="233" t="n">
        <f aca="false">CF!D69</f>
        <v>7054.1</v>
      </c>
      <c r="F22" s="233" t="n">
        <f aca="false">CF!E69</f>
        <v>6153.182</v>
      </c>
      <c r="G22" s="196" t="n">
        <f aca="false">G10*$A$22</f>
        <v>5252.24564</v>
      </c>
      <c r="H22" s="197" t="n">
        <f aca="false">SUM(D22:G22)</f>
        <v>18459.52764</v>
      </c>
    </row>
    <row r="23" customFormat="false" ht="12.75" hidden="false" customHeight="false" outlineLevel="0" collapsed="false">
      <c r="A23" s="248"/>
      <c r="B23" s="30" t="s">
        <v>241</v>
      </c>
      <c r="C23" s="30"/>
      <c r="D23" s="234" t="n">
        <f aca="false">SUM(D21:D22)</f>
        <v>-13000</v>
      </c>
      <c r="E23" s="234" t="n">
        <f aca="false">SUM(E21:E22)</f>
        <v>7054.1</v>
      </c>
      <c r="F23" s="234" t="n">
        <f aca="false">SUM(F21:F22)</f>
        <v>6153.182</v>
      </c>
      <c r="G23" s="234" t="n">
        <f aca="false">SUM(G22)</f>
        <v>5252.24564</v>
      </c>
      <c r="H23" s="235" t="n">
        <f aca="false">SUM(D23:G23)</f>
        <v>5459.52764</v>
      </c>
      <c r="I23" s="249"/>
      <c r="K23" s="249"/>
      <c r="L23" s="249"/>
      <c r="M23" s="249"/>
      <c r="N23" s="249"/>
      <c r="O23" s="249"/>
      <c r="P23" s="249"/>
      <c r="Q23" s="249"/>
      <c r="R23" s="249"/>
      <c r="S23" s="249"/>
      <c r="T23" s="249"/>
      <c r="U23" s="249"/>
      <c r="V23" s="249"/>
      <c r="W23" s="249"/>
      <c r="X23" s="249"/>
      <c r="Y23" s="249"/>
      <c r="Z23" s="249"/>
      <c r="AA23" s="249"/>
      <c r="AB23" s="249"/>
      <c r="AC23" s="249"/>
      <c r="AD23" s="249"/>
      <c r="AE23" s="249"/>
      <c r="AF23" s="249"/>
      <c r="AG23" s="249"/>
      <c r="AH23" s="249"/>
      <c r="AI23" s="249"/>
      <c r="AJ23" s="249"/>
      <c r="AK23" s="249"/>
      <c r="AL23" s="249"/>
      <c r="AM23" s="249"/>
      <c r="AN23" s="249"/>
      <c r="AO23" s="249"/>
      <c r="AP23" s="249"/>
      <c r="AQ23" s="249"/>
      <c r="AR23" s="249"/>
      <c r="AS23" s="249"/>
      <c r="AT23" s="249"/>
      <c r="AU23" s="249"/>
      <c r="AV23" s="249"/>
      <c r="AW23" s="249"/>
      <c r="AX23" s="249"/>
      <c r="AY23" s="249"/>
      <c r="AZ23" s="249"/>
      <c r="BA23" s="249"/>
      <c r="BB23" s="249"/>
      <c r="BC23" s="249"/>
      <c r="BD23" s="249"/>
      <c r="BE23" s="249"/>
      <c r="BF23" s="249"/>
      <c r="BG23" s="249"/>
      <c r="BH23" s="249"/>
      <c r="BI23" s="249"/>
      <c r="BJ23" s="249"/>
      <c r="BK23" s="249"/>
      <c r="BL23" s="249"/>
      <c r="BM23" s="249"/>
      <c r="BN23" s="249"/>
      <c r="BO23" s="249"/>
      <c r="BP23" s="249"/>
      <c r="BQ23" s="249"/>
      <c r="BR23" s="249"/>
      <c r="BS23" s="249"/>
      <c r="BT23" s="249"/>
      <c r="BU23" s="249"/>
      <c r="BV23" s="249"/>
      <c r="BW23" s="249"/>
      <c r="BX23" s="249"/>
      <c r="BY23" s="249"/>
      <c r="BZ23" s="249"/>
      <c r="CA23" s="249"/>
      <c r="CB23" s="249"/>
      <c r="CC23" s="249"/>
      <c r="CD23" s="249"/>
      <c r="CE23" s="249"/>
      <c r="CF23" s="249"/>
      <c r="CG23" s="249"/>
      <c r="CH23" s="249"/>
      <c r="CI23" s="249"/>
      <c r="CJ23" s="249"/>
      <c r="CK23" s="249"/>
      <c r="CL23" s="249"/>
      <c r="CM23" s="249"/>
      <c r="CN23" s="249"/>
      <c r="CO23" s="249"/>
      <c r="CP23" s="249"/>
      <c r="CQ23" s="249"/>
      <c r="CR23" s="249"/>
      <c r="CS23" s="249"/>
      <c r="CT23" s="249"/>
      <c r="CU23" s="249"/>
      <c r="CV23" s="249"/>
      <c r="CW23" s="249"/>
      <c r="CX23" s="249"/>
      <c r="CY23" s="249"/>
      <c r="CZ23" s="249"/>
      <c r="DA23" s="249"/>
      <c r="DB23" s="249"/>
      <c r="DC23" s="249"/>
      <c r="DD23" s="249"/>
      <c r="DE23" s="249"/>
      <c r="DF23" s="249"/>
      <c r="DG23" s="249"/>
      <c r="DH23" s="249"/>
      <c r="DI23" s="249"/>
      <c r="DJ23" s="249"/>
      <c r="DK23" s="249"/>
      <c r="DL23" s="249"/>
      <c r="DM23" s="249"/>
      <c r="DN23" s="249"/>
      <c r="DO23" s="249"/>
      <c r="DP23" s="249"/>
      <c r="DQ23" s="249"/>
      <c r="DR23" s="249"/>
      <c r="DS23" s="249"/>
      <c r="DT23" s="249"/>
      <c r="DU23" s="249"/>
      <c r="DV23" s="249"/>
      <c r="DW23" s="249"/>
      <c r="DX23" s="249"/>
      <c r="DY23" s="249"/>
      <c r="DZ23" s="249"/>
      <c r="EA23" s="249"/>
      <c r="EB23" s="249"/>
      <c r="EC23" s="249"/>
      <c r="ED23" s="249"/>
      <c r="EE23" s="249"/>
      <c r="EF23" s="249"/>
      <c r="EG23" s="249"/>
      <c r="EH23" s="249"/>
      <c r="EI23" s="249"/>
      <c r="EJ23" s="249"/>
      <c r="EK23" s="249"/>
      <c r="EL23" s="249"/>
      <c r="EM23" s="249"/>
      <c r="EN23" s="249"/>
      <c r="EO23" s="249"/>
      <c r="EP23" s="249"/>
      <c r="EQ23" s="249"/>
      <c r="ER23" s="249"/>
      <c r="ES23" s="249"/>
      <c r="ET23" s="249"/>
      <c r="EU23" s="249"/>
      <c r="EV23" s="249"/>
      <c r="EW23" s="249"/>
      <c r="EX23" s="249"/>
      <c r="EY23" s="249"/>
      <c r="EZ23" s="249"/>
      <c r="FA23" s="249"/>
      <c r="FB23" s="249"/>
      <c r="FC23" s="249"/>
      <c r="FD23" s="249"/>
      <c r="FE23" s="249"/>
      <c r="FF23" s="249"/>
      <c r="FG23" s="249"/>
      <c r="FH23" s="249"/>
      <c r="FI23" s="249"/>
      <c r="FJ23" s="249"/>
      <c r="FK23" s="249"/>
      <c r="FL23" s="249"/>
      <c r="FM23" s="249"/>
      <c r="FN23" s="249"/>
      <c r="FO23" s="249"/>
      <c r="FP23" s="249"/>
      <c r="FQ23" s="249"/>
      <c r="FR23" s="249"/>
      <c r="FS23" s="249"/>
      <c r="FT23" s="249"/>
      <c r="FU23" s="249"/>
      <c r="FV23" s="249"/>
      <c r="FW23" s="249"/>
      <c r="FX23" s="249"/>
      <c r="FY23" s="249"/>
      <c r="FZ23" s="249"/>
      <c r="GA23" s="249"/>
      <c r="GB23" s="249"/>
      <c r="GC23" s="249"/>
      <c r="GD23" s="249"/>
      <c r="GE23" s="249"/>
      <c r="GF23" s="249"/>
      <c r="GG23" s="249"/>
      <c r="GH23" s="249"/>
      <c r="GI23" s="249"/>
      <c r="GJ23" s="249"/>
      <c r="GK23" s="249"/>
      <c r="GL23" s="249"/>
      <c r="GM23" s="249"/>
      <c r="GN23" s="249"/>
      <c r="GO23" s="249"/>
      <c r="GP23" s="249"/>
      <c r="GQ23" s="249"/>
      <c r="GR23" s="249"/>
      <c r="GS23" s="249"/>
      <c r="GT23" s="249"/>
      <c r="GU23" s="249"/>
      <c r="GV23" s="249"/>
      <c r="GW23" s="249"/>
      <c r="GX23" s="249"/>
      <c r="GY23" s="249"/>
      <c r="GZ23" s="249"/>
      <c r="HA23" s="249"/>
      <c r="HB23" s="249"/>
      <c r="HC23" s="249"/>
      <c r="HD23" s="249"/>
      <c r="HE23" s="249"/>
      <c r="HF23" s="249"/>
      <c r="HG23" s="249"/>
      <c r="HH23" s="249"/>
      <c r="HI23" s="249"/>
      <c r="HJ23" s="249"/>
      <c r="HK23" s="249"/>
      <c r="HL23" s="249"/>
      <c r="HM23" s="249"/>
      <c r="HN23" s="249"/>
      <c r="HO23" s="249"/>
      <c r="HP23" s="249"/>
      <c r="HQ23" s="249"/>
      <c r="HR23" s="249"/>
      <c r="HS23" s="249"/>
      <c r="HT23" s="249"/>
      <c r="HU23" s="249"/>
      <c r="HV23" s="249"/>
      <c r="HW23" s="249"/>
      <c r="HX23" s="249"/>
      <c r="HY23" s="249"/>
      <c r="HZ23" s="249"/>
      <c r="IA23" s="249"/>
      <c r="IB23" s="249"/>
      <c r="IC23" s="249"/>
      <c r="ID23" s="249"/>
      <c r="IE23" s="249"/>
      <c r="IF23" s="249"/>
      <c r="IG23" s="249"/>
      <c r="IH23" s="249"/>
      <c r="II23" s="249"/>
      <c r="IJ23" s="249"/>
      <c r="IK23" s="249"/>
      <c r="IL23" s="249"/>
      <c r="IM23" s="249"/>
      <c r="IN23" s="249"/>
      <c r="IO23" s="249"/>
      <c r="IP23" s="249"/>
      <c r="IQ23" s="249"/>
      <c r="IR23" s="249"/>
      <c r="IS23" s="249"/>
      <c r="IT23" s="249"/>
      <c r="IU23" s="249"/>
      <c r="IV23" s="249"/>
      <c r="IW23" s="249"/>
    </row>
    <row r="24" customFormat="false" ht="12.75" hidden="false" customHeight="false" outlineLevel="0" collapsed="false">
      <c r="A24" s="29"/>
      <c r="B24" s="30" t="s">
        <v>242</v>
      </c>
      <c r="C24" s="30"/>
      <c r="D24" s="196" t="n">
        <f aca="false">D23</f>
        <v>-13000</v>
      </c>
      <c r="E24" s="196" t="n">
        <f aca="false">$D$23+NPV(DISC,E$23:$E23)</f>
        <v>-6587.18181818182</v>
      </c>
      <c r="F24" s="196" t="n">
        <f aca="false">$D$11+NPV(DISC,$E$23:F23)</f>
        <v>-1501.90743801653</v>
      </c>
      <c r="G24" s="196" t="n">
        <f aca="false">$D$23+NPV(DISC,$E$23:G23)</f>
        <v>2444.18244928625</v>
      </c>
      <c r="H24" s="197" t="n">
        <f aca="false">SUM(D24:G24)</f>
        <v>-18644.9068069121</v>
      </c>
    </row>
    <row r="25" customFormat="false" ht="12.75" hidden="false" customHeight="false" outlineLevel="0" collapsed="false">
      <c r="A25" s="29"/>
      <c r="B25" s="30" t="s">
        <v>243</v>
      </c>
      <c r="C25" s="30"/>
      <c r="D25" s="72" t="e">
        <f aca="false">IF(D23=0,0,IRR($D$23:D23))</f>
        <v>#N/A</v>
      </c>
      <c r="E25" s="72" t="n">
        <f aca="false">IRR($D$23:E23,-0.9)</f>
        <v>-0.457376923076923</v>
      </c>
      <c r="F25" s="72" t="n">
        <f aca="false">IRR($D$23:F23,-0.9)</f>
        <v>0.010859808157331</v>
      </c>
      <c r="G25" s="72" t="n">
        <f aca="false">IF(G23=0,0,IRR($D$23:G23))</f>
        <v>0.209858597198111</v>
      </c>
      <c r="H25" s="193"/>
    </row>
    <row r="26" customFormat="false" ht="13.5" hidden="false" customHeight="false" outlineLevel="0" collapsed="false">
      <c r="A26" s="29"/>
      <c r="B26" s="30"/>
      <c r="C26" s="30"/>
      <c r="D26" s="237"/>
      <c r="E26" s="237"/>
      <c r="F26" s="237"/>
      <c r="G26" s="237"/>
      <c r="H26" s="193"/>
    </row>
    <row r="27" customFormat="false" ht="12.75" hidden="false" customHeight="false" outlineLevel="0" collapsed="false">
      <c r="A27" s="29"/>
      <c r="B27" s="20" t="s">
        <v>248</v>
      </c>
      <c r="C27" s="250" t="n">
        <f aca="false">ASS!V12</f>
        <v>0.1</v>
      </c>
      <c r="D27" s="251" t="n">
        <f aca="false">G24</f>
        <v>2444.18244928625</v>
      </c>
      <c r="E27" s="198"/>
      <c r="F27" s="237"/>
      <c r="G27" s="237"/>
      <c r="H27" s="193"/>
    </row>
    <row r="28" customFormat="false" ht="12.75" hidden="false" customHeight="false" outlineLevel="0" collapsed="false">
      <c r="A28" s="29"/>
      <c r="B28" s="47" t="s">
        <v>249</v>
      </c>
      <c r="C28" s="96"/>
      <c r="D28" s="252" t="n">
        <f aca="false">G25</f>
        <v>0.209858597198111</v>
      </c>
      <c r="E28" s="242"/>
      <c r="F28" s="237"/>
      <c r="G28" s="237"/>
      <c r="H28" s="193"/>
    </row>
    <row r="29" customFormat="false" ht="13.5" hidden="false" customHeight="false" outlineLevel="0" collapsed="false">
      <c r="A29" s="57"/>
      <c r="B29" s="253" t="s">
        <v>246</v>
      </c>
      <c r="C29" s="254"/>
      <c r="D29" s="255" t="n">
        <f aca="false">MAX(F29:G29)</f>
        <v>2</v>
      </c>
      <c r="E29" s="256" t="n">
        <f aca="false">IF(AND(E24&gt;0,C24&lt;0),D5,0)</f>
        <v>0</v>
      </c>
      <c r="F29" s="257" t="n">
        <f aca="false">IF(AND(F24&gt;0,D24&lt;0),E5,0)</f>
        <v>0</v>
      </c>
      <c r="G29" s="244" t="n">
        <f aca="false">IF(AND(G24&gt;0,F24&lt;0),F5,0)</f>
        <v>2</v>
      </c>
      <c r="H29" s="245" t="n">
        <f aca="false">SUM(E29:G29)</f>
        <v>2</v>
      </c>
    </row>
    <row r="30" customFormat="false" ht="12.75" hidden="false" customHeight="false" outlineLevel="0" collapsed="false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customFormat="false" ht="12.75" hidden="false" customHeight="false" outlineLevel="0" collapsed="false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customFormat="false" ht="12.75" hidden="false" customHeight="false" outlineLevel="0" collapsed="false">
      <c r="A32" s="258"/>
      <c r="B32" s="30"/>
      <c r="C32" s="96"/>
      <c r="D32" s="30"/>
      <c r="E32" s="30"/>
      <c r="F32" s="30"/>
      <c r="G32" s="30"/>
      <c r="H32" s="30"/>
      <c r="I32" s="30"/>
      <c r="J32" s="30"/>
      <c r="K32" s="30"/>
    </row>
    <row r="33" customFormat="false" ht="12.75" hidden="false" customHeight="false" outlineLevel="0" collapsed="false">
      <c r="A33" s="49"/>
      <c r="B33" s="30"/>
      <c r="C33" s="30"/>
      <c r="D33" s="196"/>
      <c r="E33" s="196"/>
      <c r="F33" s="196"/>
      <c r="G33" s="196"/>
      <c r="H33" s="196"/>
      <c r="I33" s="196"/>
      <c r="J33" s="196"/>
      <c r="K33" s="196"/>
    </row>
    <row r="34" customFormat="false" ht="12.75" hidden="false" customHeight="false" outlineLevel="0" collapsed="false">
      <c r="A34" s="49"/>
      <c r="B34" s="30"/>
      <c r="C34" s="30"/>
      <c r="D34" s="196"/>
      <c r="E34" s="196"/>
      <c r="F34" s="196"/>
      <c r="G34" s="196"/>
      <c r="H34" s="196"/>
      <c r="I34" s="196"/>
      <c r="J34" s="196"/>
      <c r="K34" s="196"/>
    </row>
    <row r="35" customFormat="false" ht="12.75" hidden="false" customHeight="false" outlineLevel="0" collapsed="false">
      <c r="A35" s="259"/>
      <c r="B35" s="30"/>
      <c r="C35" s="30"/>
      <c r="D35" s="203"/>
      <c r="E35" s="203"/>
      <c r="F35" s="203"/>
      <c r="G35" s="203"/>
      <c r="H35" s="203"/>
      <c r="I35" s="203"/>
      <c r="J35" s="203"/>
      <c r="K35" s="203"/>
      <c r="L35" s="236"/>
      <c r="N35" s="236"/>
      <c r="O35" s="236"/>
      <c r="P35" s="260"/>
      <c r="Q35" s="236"/>
      <c r="R35" s="236"/>
      <c r="S35" s="236"/>
      <c r="T35" s="236"/>
      <c r="U35" s="236"/>
      <c r="V35" s="236"/>
      <c r="W35" s="236"/>
      <c r="X35" s="236"/>
      <c r="Y35" s="236"/>
      <c r="Z35" s="236"/>
      <c r="AA35" s="236"/>
      <c r="AB35" s="236"/>
      <c r="AC35" s="236"/>
      <c r="AD35" s="236"/>
      <c r="AE35" s="236"/>
      <c r="AF35" s="236"/>
      <c r="AG35" s="236"/>
      <c r="AH35" s="236"/>
      <c r="AI35" s="236"/>
      <c r="AJ35" s="236"/>
      <c r="AK35" s="236"/>
      <c r="AL35" s="236"/>
      <c r="AM35" s="236"/>
      <c r="AN35" s="236"/>
      <c r="AO35" s="236"/>
      <c r="AP35" s="236"/>
      <c r="AQ35" s="236"/>
      <c r="AR35" s="236"/>
      <c r="AS35" s="236"/>
      <c r="AT35" s="236"/>
      <c r="AU35" s="236"/>
      <c r="AV35" s="236"/>
      <c r="AW35" s="236"/>
      <c r="AX35" s="236"/>
      <c r="AY35" s="236"/>
      <c r="AZ35" s="236"/>
      <c r="BA35" s="236"/>
      <c r="BB35" s="236"/>
      <c r="BC35" s="236"/>
      <c r="BD35" s="236"/>
      <c r="BE35" s="236"/>
      <c r="BF35" s="236"/>
      <c r="BG35" s="236"/>
      <c r="BH35" s="236"/>
      <c r="BI35" s="236"/>
      <c r="BJ35" s="236"/>
      <c r="BK35" s="236"/>
      <c r="BL35" s="236"/>
      <c r="BM35" s="236"/>
      <c r="BN35" s="236"/>
      <c r="BO35" s="236"/>
      <c r="BP35" s="236"/>
      <c r="BQ35" s="236"/>
      <c r="BR35" s="236"/>
      <c r="BS35" s="236"/>
      <c r="BT35" s="236"/>
      <c r="BU35" s="236"/>
      <c r="BV35" s="236"/>
      <c r="BW35" s="236"/>
      <c r="BX35" s="236"/>
      <c r="BY35" s="236"/>
      <c r="BZ35" s="236"/>
      <c r="CA35" s="236"/>
      <c r="CB35" s="236"/>
      <c r="CC35" s="236"/>
      <c r="CD35" s="236"/>
      <c r="CE35" s="236"/>
      <c r="CF35" s="236"/>
      <c r="CG35" s="236"/>
      <c r="CH35" s="236"/>
      <c r="CI35" s="236"/>
      <c r="CJ35" s="236"/>
      <c r="CK35" s="236"/>
      <c r="CL35" s="236"/>
      <c r="CM35" s="236"/>
      <c r="CN35" s="236"/>
      <c r="CO35" s="236"/>
      <c r="CP35" s="236"/>
      <c r="CQ35" s="236"/>
      <c r="CR35" s="236"/>
      <c r="CS35" s="236"/>
      <c r="CT35" s="236"/>
      <c r="CU35" s="236"/>
      <c r="CV35" s="236"/>
      <c r="CW35" s="236"/>
      <c r="CX35" s="236"/>
      <c r="CY35" s="236"/>
      <c r="CZ35" s="236"/>
      <c r="DA35" s="236"/>
      <c r="DB35" s="236"/>
      <c r="DC35" s="236"/>
      <c r="DD35" s="236"/>
      <c r="DE35" s="236"/>
      <c r="DF35" s="236"/>
      <c r="DG35" s="236"/>
      <c r="DH35" s="236"/>
      <c r="DI35" s="236"/>
      <c r="DJ35" s="236"/>
      <c r="DK35" s="236"/>
      <c r="DL35" s="236"/>
      <c r="DM35" s="236"/>
      <c r="DN35" s="236"/>
      <c r="DO35" s="236"/>
      <c r="DP35" s="236"/>
      <c r="DQ35" s="236"/>
      <c r="DR35" s="236"/>
      <c r="DS35" s="236"/>
      <c r="DT35" s="236"/>
      <c r="DU35" s="236"/>
      <c r="DV35" s="236"/>
      <c r="DW35" s="236"/>
      <c r="DX35" s="236"/>
      <c r="DY35" s="236"/>
      <c r="DZ35" s="236"/>
      <c r="EA35" s="236"/>
      <c r="EB35" s="236"/>
      <c r="EC35" s="236"/>
      <c r="ED35" s="236"/>
      <c r="EE35" s="236"/>
      <c r="EF35" s="236"/>
      <c r="EG35" s="236"/>
      <c r="EH35" s="236"/>
      <c r="EI35" s="236"/>
      <c r="EJ35" s="236"/>
      <c r="EK35" s="236"/>
      <c r="EL35" s="236"/>
      <c r="EM35" s="236"/>
      <c r="EN35" s="236"/>
      <c r="EO35" s="236"/>
      <c r="EP35" s="236"/>
      <c r="EQ35" s="236"/>
      <c r="ER35" s="236"/>
      <c r="ES35" s="236"/>
      <c r="ET35" s="236"/>
      <c r="EU35" s="236"/>
      <c r="EV35" s="236"/>
      <c r="EW35" s="236"/>
      <c r="EX35" s="236"/>
      <c r="EY35" s="236"/>
      <c r="EZ35" s="236"/>
      <c r="FA35" s="236"/>
      <c r="FB35" s="236"/>
      <c r="FC35" s="236"/>
      <c r="FD35" s="236"/>
      <c r="FE35" s="236"/>
      <c r="FF35" s="236"/>
      <c r="FG35" s="236"/>
      <c r="FH35" s="236"/>
      <c r="FI35" s="236"/>
      <c r="FJ35" s="236"/>
      <c r="FK35" s="236"/>
      <c r="FL35" s="236"/>
      <c r="FM35" s="236"/>
      <c r="FN35" s="236"/>
      <c r="FO35" s="236"/>
      <c r="FP35" s="236"/>
      <c r="FQ35" s="236"/>
      <c r="FR35" s="236"/>
      <c r="FS35" s="236"/>
      <c r="FT35" s="236"/>
      <c r="FU35" s="236"/>
      <c r="FV35" s="236"/>
      <c r="FW35" s="236"/>
      <c r="FX35" s="236"/>
      <c r="FY35" s="236"/>
      <c r="FZ35" s="236"/>
      <c r="GA35" s="236"/>
      <c r="GB35" s="236"/>
      <c r="GC35" s="236"/>
      <c r="GD35" s="236"/>
      <c r="GE35" s="236"/>
      <c r="GF35" s="236"/>
      <c r="GG35" s="236"/>
      <c r="GH35" s="236"/>
      <c r="GI35" s="236"/>
      <c r="GJ35" s="236"/>
      <c r="GK35" s="236"/>
      <c r="GL35" s="236"/>
      <c r="GM35" s="236"/>
      <c r="GN35" s="236"/>
      <c r="GO35" s="236"/>
      <c r="GP35" s="236"/>
      <c r="GQ35" s="236"/>
      <c r="GR35" s="236"/>
      <c r="GS35" s="236"/>
      <c r="GT35" s="236"/>
      <c r="GU35" s="236"/>
      <c r="GV35" s="236"/>
      <c r="GW35" s="236"/>
      <c r="GX35" s="236"/>
      <c r="GY35" s="236"/>
      <c r="GZ35" s="236"/>
      <c r="HA35" s="236"/>
      <c r="HB35" s="236"/>
      <c r="HC35" s="236"/>
      <c r="HD35" s="236"/>
      <c r="HE35" s="236"/>
      <c r="HF35" s="236"/>
      <c r="HG35" s="236"/>
      <c r="HH35" s="236"/>
      <c r="HI35" s="236"/>
      <c r="HJ35" s="236"/>
      <c r="HK35" s="236"/>
      <c r="HL35" s="236"/>
      <c r="HM35" s="236"/>
      <c r="HN35" s="236"/>
      <c r="HO35" s="236"/>
      <c r="HP35" s="236"/>
      <c r="HQ35" s="236"/>
      <c r="HR35" s="236"/>
      <c r="HS35" s="236"/>
      <c r="HT35" s="236"/>
      <c r="HU35" s="236"/>
      <c r="HV35" s="236"/>
      <c r="HW35" s="236"/>
      <c r="HX35" s="236"/>
      <c r="HY35" s="236"/>
      <c r="HZ35" s="236"/>
      <c r="IA35" s="236"/>
      <c r="IB35" s="236"/>
      <c r="IC35" s="236"/>
      <c r="ID35" s="236"/>
      <c r="IE35" s="236"/>
      <c r="IF35" s="236"/>
      <c r="IG35" s="236"/>
      <c r="IH35" s="236"/>
      <c r="II35" s="236"/>
      <c r="IJ35" s="236"/>
      <c r="IK35" s="236"/>
      <c r="IL35" s="236"/>
      <c r="IM35" s="236"/>
      <c r="IN35" s="236"/>
      <c r="IO35" s="236"/>
      <c r="IP35" s="236"/>
      <c r="IQ35" s="236"/>
      <c r="IR35" s="236"/>
      <c r="IS35" s="236"/>
      <c r="IT35" s="236"/>
      <c r="IU35" s="236"/>
      <c r="IV35" s="236"/>
      <c r="IW35" s="236"/>
    </row>
    <row r="36" customFormat="false" ht="12.75" hidden="false" customHeight="false" outlineLevel="0" collapsed="false">
      <c r="A36" s="261"/>
      <c r="B36" s="30"/>
      <c r="C36" s="30"/>
      <c r="D36" s="234"/>
      <c r="E36" s="234"/>
      <c r="F36" s="234"/>
      <c r="G36" s="234"/>
      <c r="H36" s="234"/>
      <c r="I36" s="234"/>
      <c r="J36" s="234"/>
      <c r="K36" s="234"/>
      <c r="L36" s="249"/>
      <c r="N36" s="249"/>
      <c r="O36" s="249"/>
      <c r="P36" s="249"/>
      <c r="Q36" s="249"/>
      <c r="R36" s="249"/>
      <c r="S36" s="249"/>
      <c r="T36" s="249"/>
      <c r="U36" s="249"/>
      <c r="V36" s="249"/>
      <c r="W36" s="249"/>
      <c r="X36" s="249"/>
      <c r="Y36" s="249"/>
      <c r="Z36" s="249"/>
      <c r="AA36" s="249"/>
      <c r="AB36" s="249"/>
      <c r="AC36" s="249"/>
      <c r="AD36" s="249"/>
      <c r="AE36" s="249"/>
      <c r="AF36" s="249"/>
      <c r="AG36" s="249"/>
      <c r="AH36" s="249"/>
      <c r="AI36" s="249"/>
      <c r="AJ36" s="249"/>
      <c r="AK36" s="249"/>
      <c r="AL36" s="249"/>
      <c r="AM36" s="249"/>
      <c r="AN36" s="249"/>
      <c r="AO36" s="249"/>
      <c r="AP36" s="249"/>
      <c r="AQ36" s="249"/>
      <c r="AR36" s="249"/>
      <c r="AS36" s="249"/>
      <c r="AT36" s="249"/>
      <c r="AU36" s="249"/>
      <c r="AV36" s="249"/>
      <c r="AW36" s="249"/>
      <c r="AX36" s="249"/>
      <c r="AY36" s="249"/>
      <c r="AZ36" s="249"/>
      <c r="BA36" s="249"/>
      <c r="BB36" s="249"/>
      <c r="BC36" s="249"/>
      <c r="BD36" s="249"/>
      <c r="BE36" s="249"/>
      <c r="BF36" s="249"/>
      <c r="BG36" s="249"/>
      <c r="BH36" s="249"/>
      <c r="BI36" s="249"/>
      <c r="BJ36" s="249"/>
      <c r="BK36" s="249"/>
      <c r="BL36" s="249"/>
      <c r="BM36" s="249"/>
      <c r="BN36" s="249"/>
      <c r="BO36" s="249"/>
      <c r="BP36" s="249"/>
      <c r="BQ36" s="249"/>
      <c r="BR36" s="249"/>
      <c r="BS36" s="249"/>
      <c r="BT36" s="249"/>
      <c r="BU36" s="249"/>
      <c r="BV36" s="249"/>
      <c r="BW36" s="249"/>
      <c r="BX36" s="249"/>
      <c r="BY36" s="249"/>
      <c r="BZ36" s="249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49"/>
      <c r="CL36" s="249"/>
      <c r="CM36" s="249"/>
      <c r="CN36" s="249"/>
      <c r="CO36" s="249"/>
      <c r="CP36" s="249"/>
      <c r="CQ36" s="249"/>
      <c r="CR36" s="249"/>
      <c r="CS36" s="249"/>
      <c r="CT36" s="249"/>
      <c r="CU36" s="249"/>
      <c r="CV36" s="249"/>
      <c r="CW36" s="249"/>
      <c r="CX36" s="249"/>
      <c r="CY36" s="249"/>
      <c r="CZ36" s="249"/>
      <c r="DA36" s="249"/>
      <c r="DB36" s="249"/>
      <c r="DC36" s="249"/>
      <c r="DD36" s="249"/>
      <c r="DE36" s="249"/>
      <c r="DF36" s="249"/>
      <c r="DG36" s="249"/>
      <c r="DH36" s="249"/>
      <c r="DI36" s="249"/>
      <c r="DJ36" s="249"/>
      <c r="DK36" s="249"/>
      <c r="DL36" s="249"/>
      <c r="DM36" s="249"/>
      <c r="DN36" s="249"/>
      <c r="DO36" s="249"/>
      <c r="DP36" s="249"/>
      <c r="DQ36" s="249"/>
      <c r="DR36" s="249"/>
      <c r="DS36" s="249"/>
      <c r="DT36" s="249"/>
      <c r="DU36" s="249"/>
      <c r="DV36" s="249"/>
      <c r="DW36" s="249"/>
      <c r="DX36" s="249"/>
      <c r="DY36" s="249"/>
      <c r="DZ36" s="249"/>
      <c r="EA36" s="249"/>
      <c r="EB36" s="249"/>
      <c r="EC36" s="249"/>
      <c r="ED36" s="249"/>
      <c r="EE36" s="249"/>
      <c r="EF36" s="249"/>
      <c r="EG36" s="249"/>
      <c r="EH36" s="249"/>
      <c r="EI36" s="249"/>
      <c r="EJ36" s="249"/>
      <c r="EK36" s="249"/>
      <c r="EL36" s="249"/>
      <c r="EM36" s="249"/>
      <c r="EN36" s="249"/>
      <c r="EO36" s="249"/>
      <c r="EP36" s="249"/>
      <c r="EQ36" s="249"/>
      <c r="ER36" s="249"/>
      <c r="ES36" s="249"/>
      <c r="ET36" s="249"/>
      <c r="EU36" s="249"/>
      <c r="EV36" s="249"/>
      <c r="EW36" s="249"/>
      <c r="EX36" s="249"/>
      <c r="EY36" s="249"/>
      <c r="EZ36" s="249"/>
      <c r="FA36" s="249"/>
      <c r="FB36" s="249"/>
      <c r="FC36" s="249"/>
      <c r="FD36" s="249"/>
      <c r="FE36" s="249"/>
      <c r="FF36" s="249"/>
      <c r="FG36" s="249"/>
      <c r="FH36" s="249"/>
      <c r="FI36" s="249"/>
      <c r="FJ36" s="249"/>
      <c r="FK36" s="249"/>
      <c r="FL36" s="249"/>
      <c r="FM36" s="249"/>
      <c r="FN36" s="249"/>
      <c r="FO36" s="249"/>
      <c r="FP36" s="249"/>
      <c r="FQ36" s="249"/>
      <c r="FR36" s="249"/>
      <c r="FS36" s="249"/>
      <c r="FT36" s="249"/>
      <c r="FU36" s="249"/>
      <c r="FV36" s="249"/>
      <c r="FW36" s="249"/>
      <c r="FX36" s="249"/>
      <c r="FY36" s="249"/>
      <c r="FZ36" s="249"/>
      <c r="GA36" s="249"/>
      <c r="GB36" s="249"/>
      <c r="GC36" s="249"/>
      <c r="GD36" s="249"/>
      <c r="GE36" s="249"/>
      <c r="GF36" s="249"/>
      <c r="GG36" s="249"/>
      <c r="GH36" s="249"/>
      <c r="GI36" s="249"/>
      <c r="GJ36" s="249"/>
      <c r="GK36" s="249"/>
      <c r="GL36" s="249"/>
      <c r="GM36" s="249"/>
      <c r="GN36" s="249"/>
      <c r="GO36" s="249"/>
      <c r="GP36" s="249"/>
      <c r="GQ36" s="249"/>
      <c r="GR36" s="249"/>
      <c r="GS36" s="249"/>
      <c r="GT36" s="249"/>
      <c r="GU36" s="249"/>
      <c r="GV36" s="249"/>
      <c r="GW36" s="249"/>
      <c r="GX36" s="249"/>
      <c r="GY36" s="249"/>
      <c r="GZ36" s="249"/>
      <c r="HA36" s="249"/>
      <c r="HB36" s="249"/>
      <c r="HC36" s="249"/>
      <c r="HD36" s="249"/>
      <c r="HE36" s="249"/>
      <c r="HF36" s="249"/>
      <c r="HG36" s="249"/>
      <c r="HH36" s="249"/>
      <c r="HI36" s="249"/>
      <c r="HJ36" s="249"/>
      <c r="HK36" s="249"/>
      <c r="HL36" s="249"/>
      <c r="HM36" s="249"/>
      <c r="HN36" s="249"/>
      <c r="HO36" s="249"/>
      <c r="HP36" s="249"/>
      <c r="HQ36" s="249"/>
      <c r="HR36" s="249"/>
      <c r="HS36" s="249"/>
      <c r="HT36" s="249"/>
      <c r="HU36" s="249"/>
      <c r="HV36" s="249"/>
      <c r="HW36" s="249"/>
      <c r="HX36" s="249"/>
      <c r="HY36" s="249"/>
      <c r="HZ36" s="249"/>
      <c r="IA36" s="249"/>
      <c r="IB36" s="249"/>
      <c r="IC36" s="249"/>
      <c r="ID36" s="249"/>
      <c r="IE36" s="249"/>
      <c r="IF36" s="249"/>
      <c r="IG36" s="249"/>
      <c r="IH36" s="249"/>
      <c r="II36" s="249"/>
      <c r="IJ36" s="249"/>
      <c r="IK36" s="249"/>
      <c r="IL36" s="249"/>
      <c r="IM36" s="249"/>
      <c r="IN36" s="249"/>
      <c r="IO36" s="249"/>
      <c r="IP36" s="249"/>
      <c r="IQ36" s="249"/>
      <c r="IR36" s="249"/>
      <c r="IS36" s="249"/>
      <c r="IT36" s="249"/>
      <c r="IU36" s="249"/>
      <c r="IV36" s="249"/>
      <c r="IW36" s="249"/>
    </row>
    <row r="37" customFormat="false" ht="12.75" hidden="false" customHeight="false" outlineLevel="0" collapsed="false">
      <c r="A37" s="54"/>
      <c r="B37" s="30"/>
      <c r="C37" s="30"/>
      <c r="D37" s="196"/>
      <c r="E37" s="196"/>
      <c r="F37" s="196"/>
      <c r="G37" s="196"/>
      <c r="H37" s="196"/>
      <c r="I37" s="196"/>
      <c r="J37" s="196"/>
      <c r="K37" s="196"/>
    </row>
    <row r="38" customFormat="false" ht="12.75" hidden="false" customHeight="false" outlineLevel="0" collapsed="false">
      <c r="A38" s="54"/>
      <c r="B38" s="30"/>
      <c r="C38" s="30"/>
      <c r="D38" s="72"/>
      <c r="E38" s="72"/>
      <c r="F38" s="72"/>
      <c r="G38" s="72"/>
      <c r="H38" s="72"/>
      <c r="I38" s="72"/>
      <c r="J38" s="72"/>
      <c r="K38" s="30"/>
    </row>
    <row r="39" customFormat="false" ht="12.75" hidden="false" customHeight="false" outlineLevel="0" collapsed="false">
      <c r="A39" s="54"/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customFormat="false" ht="12.75" hidden="false" customHeight="false" outlineLevel="0" collapsed="false">
      <c r="A40" s="54"/>
      <c r="B40" s="96"/>
      <c r="C40" s="239"/>
      <c r="D40" s="198"/>
      <c r="E40" s="198"/>
      <c r="F40" s="30"/>
      <c r="G40" s="30"/>
      <c r="H40" s="30"/>
      <c r="I40" s="30"/>
      <c r="J40" s="30"/>
      <c r="K40" s="30"/>
    </row>
    <row r="41" customFormat="false" ht="12.75" hidden="false" customHeight="false" outlineLevel="0" collapsed="false">
      <c r="A41" s="54"/>
      <c r="B41" s="96"/>
      <c r="C41" s="96"/>
      <c r="D41" s="242"/>
      <c r="E41" s="242"/>
      <c r="F41" s="30"/>
      <c r="G41" s="30"/>
      <c r="H41" s="30"/>
      <c r="I41" s="30"/>
      <c r="J41" s="30"/>
      <c r="K41" s="30"/>
    </row>
    <row r="42" customFormat="false" ht="12.75" hidden="false" customHeight="false" outlineLevel="0" collapsed="false">
      <c r="A42" s="54"/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customFormat="false" ht="12.75" hidden="false" customHeight="false" outlineLevel="0" collapsed="false">
      <c r="A43" s="54"/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customFormat="false" ht="12.75" hidden="false" customHeight="false" outlineLevel="0" collapsed="false">
      <c r="A44" s="258"/>
      <c r="B44" s="30"/>
      <c r="C44" s="96"/>
      <c r="D44" s="30"/>
      <c r="E44" s="30"/>
      <c r="F44" s="30"/>
      <c r="G44" s="30"/>
      <c r="H44" s="30"/>
      <c r="I44" s="30"/>
      <c r="J44" s="30"/>
      <c r="K44" s="30"/>
    </row>
    <row r="45" customFormat="false" ht="12.75" hidden="false" customHeight="false" outlineLevel="0" collapsed="false">
      <c r="A45" s="49"/>
      <c r="B45" s="30"/>
      <c r="C45" s="30"/>
      <c r="D45" s="196"/>
      <c r="E45" s="196"/>
      <c r="F45" s="196"/>
      <c r="G45" s="196"/>
      <c r="H45" s="196"/>
      <c r="I45" s="196"/>
      <c r="J45" s="196"/>
      <c r="K45" s="196"/>
    </row>
    <row r="46" customFormat="false" ht="12.75" hidden="false" customHeight="false" outlineLevel="0" collapsed="false">
      <c r="A46" s="49"/>
      <c r="B46" s="30"/>
      <c r="C46" s="30"/>
      <c r="D46" s="196"/>
      <c r="E46" s="196"/>
      <c r="F46" s="196"/>
      <c r="G46" s="196"/>
      <c r="H46" s="196"/>
      <c r="I46" s="196"/>
      <c r="J46" s="196"/>
      <c r="K46" s="196"/>
    </row>
    <row r="47" customFormat="false" ht="12.75" hidden="false" customHeight="false" outlineLevel="0" collapsed="false">
      <c r="A47" s="259"/>
      <c r="B47" s="30"/>
      <c r="C47" s="30"/>
      <c r="D47" s="203"/>
      <c r="E47" s="203"/>
      <c r="F47" s="203"/>
      <c r="G47" s="203"/>
      <c r="H47" s="203"/>
      <c r="I47" s="203"/>
      <c r="J47" s="203"/>
      <c r="K47" s="203"/>
      <c r="L47" s="236"/>
      <c r="N47" s="236"/>
      <c r="O47" s="236"/>
      <c r="P47" s="260"/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  <c r="AE47" s="236"/>
      <c r="AF47" s="236"/>
      <c r="AG47" s="236"/>
      <c r="AH47" s="236"/>
      <c r="AI47" s="236"/>
      <c r="AJ47" s="236"/>
      <c r="AK47" s="236"/>
      <c r="AL47" s="236"/>
      <c r="AM47" s="236"/>
      <c r="AN47" s="236"/>
      <c r="AO47" s="236"/>
      <c r="AP47" s="236"/>
      <c r="AQ47" s="236"/>
      <c r="AR47" s="236"/>
      <c r="AS47" s="236"/>
      <c r="AT47" s="236"/>
      <c r="AU47" s="236"/>
      <c r="AV47" s="236"/>
      <c r="AW47" s="236"/>
      <c r="AX47" s="236"/>
      <c r="AY47" s="236"/>
      <c r="AZ47" s="236"/>
      <c r="BA47" s="236"/>
      <c r="BB47" s="236"/>
      <c r="BC47" s="236"/>
      <c r="BD47" s="236"/>
      <c r="BE47" s="236"/>
      <c r="BF47" s="236"/>
      <c r="BG47" s="236"/>
      <c r="BH47" s="236"/>
      <c r="BI47" s="236"/>
      <c r="BJ47" s="236"/>
      <c r="BK47" s="236"/>
      <c r="BL47" s="236"/>
      <c r="BM47" s="236"/>
      <c r="BN47" s="236"/>
      <c r="BO47" s="236"/>
      <c r="BP47" s="236"/>
      <c r="BQ47" s="236"/>
      <c r="BR47" s="236"/>
      <c r="BS47" s="236"/>
      <c r="BT47" s="236"/>
      <c r="BU47" s="236"/>
      <c r="BV47" s="236"/>
      <c r="BW47" s="236"/>
      <c r="BX47" s="236"/>
      <c r="BY47" s="236"/>
      <c r="BZ47" s="236"/>
      <c r="CA47" s="236"/>
      <c r="CB47" s="236"/>
      <c r="CC47" s="236"/>
      <c r="CD47" s="236"/>
      <c r="CE47" s="236"/>
      <c r="CF47" s="236"/>
      <c r="CG47" s="236"/>
      <c r="CH47" s="236"/>
      <c r="CI47" s="236"/>
      <c r="CJ47" s="236"/>
      <c r="CK47" s="236"/>
      <c r="CL47" s="236"/>
      <c r="CM47" s="236"/>
      <c r="CN47" s="236"/>
      <c r="CO47" s="236"/>
      <c r="CP47" s="236"/>
      <c r="CQ47" s="236"/>
      <c r="CR47" s="236"/>
      <c r="CS47" s="236"/>
      <c r="CT47" s="236"/>
      <c r="CU47" s="236"/>
      <c r="CV47" s="236"/>
      <c r="CW47" s="236"/>
      <c r="CX47" s="236"/>
      <c r="CY47" s="236"/>
      <c r="CZ47" s="236"/>
      <c r="DA47" s="236"/>
      <c r="DB47" s="236"/>
      <c r="DC47" s="236"/>
      <c r="DD47" s="236"/>
      <c r="DE47" s="236"/>
      <c r="DF47" s="236"/>
      <c r="DG47" s="236"/>
      <c r="DH47" s="236"/>
      <c r="DI47" s="236"/>
      <c r="DJ47" s="236"/>
      <c r="DK47" s="236"/>
      <c r="DL47" s="236"/>
      <c r="DM47" s="236"/>
      <c r="DN47" s="236"/>
      <c r="DO47" s="236"/>
      <c r="DP47" s="236"/>
      <c r="DQ47" s="236"/>
      <c r="DR47" s="236"/>
      <c r="DS47" s="236"/>
      <c r="DT47" s="236"/>
      <c r="DU47" s="236"/>
      <c r="DV47" s="236"/>
      <c r="DW47" s="236"/>
      <c r="DX47" s="236"/>
      <c r="DY47" s="236"/>
      <c r="DZ47" s="236"/>
      <c r="EA47" s="236"/>
      <c r="EB47" s="236"/>
      <c r="EC47" s="236"/>
      <c r="ED47" s="236"/>
      <c r="EE47" s="236"/>
      <c r="EF47" s="236"/>
      <c r="EG47" s="236"/>
      <c r="EH47" s="236"/>
      <c r="EI47" s="236"/>
      <c r="EJ47" s="236"/>
      <c r="EK47" s="236"/>
      <c r="EL47" s="236"/>
      <c r="EM47" s="236"/>
      <c r="EN47" s="236"/>
      <c r="EO47" s="236"/>
      <c r="EP47" s="236"/>
      <c r="EQ47" s="236"/>
      <c r="ER47" s="236"/>
      <c r="ES47" s="236"/>
      <c r="ET47" s="236"/>
      <c r="EU47" s="236"/>
      <c r="EV47" s="236"/>
      <c r="EW47" s="236"/>
      <c r="EX47" s="236"/>
      <c r="EY47" s="236"/>
      <c r="EZ47" s="236"/>
      <c r="FA47" s="236"/>
      <c r="FB47" s="236"/>
      <c r="FC47" s="236"/>
      <c r="FD47" s="236"/>
      <c r="FE47" s="236"/>
      <c r="FF47" s="236"/>
      <c r="FG47" s="236"/>
      <c r="FH47" s="236"/>
      <c r="FI47" s="236"/>
      <c r="FJ47" s="236"/>
      <c r="FK47" s="236"/>
      <c r="FL47" s="236"/>
      <c r="FM47" s="236"/>
      <c r="FN47" s="236"/>
      <c r="FO47" s="236"/>
      <c r="FP47" s="236"/>
      <c r="FQ47" s="236"/>
      <c r="FR47" s="236"/>
      <c r="FS47" s="236"/>
      <c r="FT47" s="236"/>
      <c r="FU47" s="236"/>
      <c r="FV47" s="236"/>
      <c r="FW47" s="236"/>
      <c r="FX47" s="236"/>
      <c r="FY47" s="236"/>
      <c r="FZ47" s="236"/>
      <c r="GA47" s="236"/>
      <c r="GB47" s="236"/>
      <c r="GC47" s="236"/>
      <c r="GD47" s="236"/>
      <c r="GE47" s="236"/>
      <c r="GF47" s="236"/>
      <c r="GG47" s="236"/>
      <c r="GH47" s="236"/>
      <c r="GI47" s="236"/>
      <c r="GJ47" s="236"/>
      <c r="GK47" s="236"/>
      <c r="GL47" s="236"/>
      <c r="GM47" s="236"/>
      <c r="GN47" s="236"/>
      <c r="GO47" s="236"/>
      <c r="GP47" s="236"/>
      <c r="GQ47" s="236"/>
      <c r="GR47" s="236"/>
      <c r="GS47" s="236"/>
      <c r="GT47" s="236"/>
      <c r="GU47" s="236"/>
      <c r="GV47" s="236"/>
      <c r="GW47" s="236"/>
      <c r="GX47" s="236"/>
      <c r="GY47" s="236"/>
      <c r="GZ47" s="236"/>
      <c r="HA47" s="236"/>
      <c r="HB47" s="236"/>
      <c r="HC47" s="236"/>
      <c r="HD47" s="236"/>
      <c r="HE47" s="236"/>
      <c r="HF47" s="236"/>
      <c r="HG47" s="236"/>
      <c r="HH47" s="236"/>
      <c r="HI47" s="236"/>
      <c r="HJ47" s="236"/>
      <c r="HK47" s="236"/>
      <c r="HL47" s="236"/>
      <c r="HM47" s="236"/>
      <c r="HN47" s="236"/>
      <c r="HO47" s="236"/>
      <c r="HP47" s="236"/>
      <c r="HQ47" s="236"/>
      <c r="HR47" s="236"/>
      <c r="HS47" s="236"/>
      <c r="HT47" s="236"/>
      <c r="HU47" s="236"/>
      <c r="HV47" s="236"/>
      <c r="HW47" s="236"/>
      <c r="HX47" s="236"/>
      <c r="HY47" s="236"/>
      <c r="HZ47" s="236"/>
      <c r="IA47" s="236"/>
      <c r="IB47" s="236"/>
      <c r="IC47" s="236"/>
      <c r="ID47" s="236"/>
      <c r="IE47" s="236"/>
      <c r="IF47" s="236"/>
      <c r="IG47" s="236"/>
      <c r="IH47" s="236"/>
      <c r="II47" s="236"/>
      <c r="IJ47" s="236"/>
      <c r="IK47" s="236"/>
      <c r="IL47" s="236"/>
      <c r="IM47" s="236"/>
      <c r="IN47" s="236"/>
      <c r="IO47" s="236"/>
      <c r="IP47" s="236"/>
      <c r="IQ47" s="236"/>
      <c r="IR47" s="236"/>
      <c r="IS47" s="236"/>
      <c r="IT47" s="236"/>
      <c r="IU47" s="236"/>
      <c r="IV47" s="236"/>
      <c r="IW47" s="236"/>
    </row>
    <row r="48" customFormat="false" ht="12.75" hidden="false" customHeight="false" outlineLevel="0" collapsed="false">
      <c r="A48" s="261"/>
      <c r="B48" s="30"/>
      <c r="C48" s="30"/>
      <c r="D48" s="234"/>
      <c r="E48" s="234"/>
      <c r="F48" s="234"/>
      <c r="G48" s="234"/>
      <c r="H48" s="234"/>
      <c r="I48" s="234"/>
      <c r="J48" s="234"/>
      <c r="K48" s="234"/>
      <c r="L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49"/>
      <c r="AC48" s="249"/>
      <c r="AD48" s="249"/>
      <c r="AE48" s="249"/>
      <c r="AF48" s="249"/>
      <c r="AG48" s="249"/>
      <c r="AH48" s="249"/>
      <c r="AI48" s="249"/>
      <c r="AJ48" s="249"/>
      <c r="AK48" s="249"/>
      <c r="AL48" s="249"/>
      <c r="AM48" s="249"/>
      <c r="AN48" s="249"/>
      <c r="AO48" s="249"/>
      <c r="AP48" s="249"/>
      <c r="AQ48" s="249"/>
      <c r="AR48" s="249"/>
      <c r="AS48" s="249"/>
      <c r="AT48" s="249"/>
      <c r="AU48" s="249"/>
      <c r="AV48" s="249"/>
      <c r="AW48" s="249"/>
      <c r="AX48" s="249"/>
      <c r="AY48" s="249"/>
      <c r="AZ48" s="249"/>
      <c r="BA48" s="249"/>
      <c r="BB48" s="249"/>
      <c r="BC48" s="249"/>
      <c r="BD48" s="249"/>
      <c r="BE48" s="249"/>
      <c r="BF48" s="249"/>
      <c r="BG48" s="249"/>
      <c r="BH48" s="249"/>
      <c r="BI48" s="249"/>
      <c r="BJ48" s="249"/>
      <c r="BK48" s="249"/>
      <c r="BL48" s="249"/>
      <c r="BM48" s="249"/>
      <c r="BN48" s="249"/>
      <c r="BO48" s="249"/>
      <c r="BP48" s="249"/>
      <c r="BQ48" s="249"/>
      <c r="BR48" s="249"/>
      <c r="BS48" s="249"/>
      <c r="BT48" s="249"/>
      <c r="BU48" s="249"/>
      <c r="BV48" s="249"/>
      <c r="BW48" s="249"/>
      <c r="BX48" s="249"/>
      <c r="BY48" s="249"/>
      <c r="BZ48" s="249"/>
      <c r="CA48" s="249"/>
      <c r="CB48" s="249"/>
      <c r="CC48" s="249"/>
      <c r="CD48" s="249"/>
      <c r="CE48" s="249"/>
      <c r="CF48" s="249"/>
      <c r="CG48" s="249"/>
      <c r="CH48" s="249"/>
      <c r="CI48" s="249"/>
      <c r="CJ48" s="249"/>
      <c r="CK48" s="249"/>
      <c r="CL48" s="249"/>
      <c r="CM48" s="249"/>
      <c r="CN48" s="249"/>
      <c r="CO48" s="249"/>
      <c r="CP48" s="249"/>
      <c r="CQ48" s="249"/>
      <c r="CR48" s="249"/>
      <c r="CS48" s="249"/>
      <c r="CT48" s="249"/>
      <c r="CU48" s="249"/>
      <c r="CV48" s="249"/>
      <c r="CW48" s="249"/>
      <c r="CX48" s="249"/>
      <c r="CY48" s="249"/>
      <c r="CZ48" s="249"/>
      <c r="DA48" s="249"/>
      <c r="DB48" s="249"/>
      <c r="DC48" s="249"/>
      <c r="DD48" s="249"/>
      <c r="DE48" s="249"/>
      <c r="DF48" s="249"/>
      <c r="DG48" s="249"/>
      <c r="DH48" s="249"/>
      <c r="DI48" s="249"/>
      <c r="DJ48" s="249"/>
      <c r="DK48" s="249"/>
      <c r="DL48" s="249"/>
      <c r="DM48" s="249"/>
      <c r="DN48" s="249"/>
      <c r="DO48" s="249"/>
      <c r="DP48" s="249"/>
      <c r="DQ48" s="249"/>
      <c r="DR48" s="249"/>
      <c r="DS48" s="249"/>
      <c r="DT48" s="249"/>
      <c r="DU48" s="249"/>
      <c r="DV48" s="249"/>
      <c r="DW48" s="249"/>
      <c r="DX48" s="249"/>
      <c r="DY48" s="249"/>
      <c r="DZ48" s="249"/>
      <c r="EA48" s="249"/>
      <c r="EB48" s="249"/>
      <c r="EC48" s="249"/>
      <c r="ED48" s="249"/>
      <c r="EE48" s="249"/>
      <c r="EF48" s="249"/>
      <c r="EG48" s="249"/>
      <c r="EH48" s="249"/>
      <c r="EI48" s="249"/>
      <c r="EJ48" s="249"/>
      <c r="EK48" s="249"/>
      <c r="EL48" s="249"/>
      <c r="EM48" s="249"/>
      <c r="EN48" s="249"/>
      <c r="EO48" s="249"/>
      <c r="EP48" s="249"/>
      <c r="EQ48" s="249"/>
      <c r="ER48" s="249"/>
      <c r="ES48" s="249"/>
      <c r="ET48" s="249"/>
      <c r="EU48" s="249"/>
      <c r="EV48" s="249"/>
      <c r="EW48" s="249"/>
      <c r="EX48" s="249"/>
      <c r="EY48" s="249"/>
      <c r="EZ48" s="249"/>
      <c r="FA48" s="249"/>
      <c r="FB48" s="249"/>
      <c r="FC48" s="249"/>
      <c r="FD48" s="249"/>
      <c r="FE48" s="249"/>
      <c r="FF48" s="249"/>
      <c r="FG48" s="249"/>
      <c r="FH48" s="249"/>
      <c r="FI48" s="249"/>
      <c r="FJ48" s="249"/>
      <c r="FK48" s="249"/>
      <c r="FL48" s="249"/>
      <c r="FM48" s="249"/>
      <c r="FN48" s="249"/>
      <c r="FO48" s="249"/>
      <c r="FP48" s="249"/>
      <c r="FQ48" s="249"/>
      <c r="FR48" s="249"/>
      <c r="FS48" s="249"/>
      <c r="FT48" s="249"/>
      <c r="FU48" s="249"/>
      <c r="FV48" s="249"/>
      <c r="FW48" s="249"/>
      <c r="FX48" s="249"/>
      <c r="FY48" s="249"/>
      <c r="FZ48" s="249"/>
      <c r="GA48" s="249"/>
      <c r="GB48" s="249"/>
      <c r="GC48" s="249"/>
      <c r="GD48" s="249"/>
      <c r="GE48" s="249"/>
      <c r="GF48" s="249"/>
      <c r="GG48" s="249"/>
      <c r="GH48" s="249"/>
      <c r="GI48" s="249"/>
      <c r="GJ48" s="249"/>
      <c r="GK48" s="249"/>
      <c r="GL48" s="249"/>
      <c r="GM48" s="249"/>
      <c r="GN48" s="249"/>
      <c r="GO48" s="249"/>
      <c r="GP48" s="249"/>
      <c r="GQ48" s="249"/>
      <c r="GR48" s="249"/>
      <c r="GS48" s="249"/>
      <c r="GT48" s="249"/>
      <c r="GU48" s="249"/>
      <c r="GV48" s="249"/>
      <c r="GW48" s="249"/>
      <c r="GX48" s="249"/>
      <c r="GY48" s="249"/>
      <c r="GZ48" s="249"/>
      <c r="HA48" s="249"/>
      <c r="HB48" s="249"/>
      <c r="HC48" s="249"/>
      <c r="HD48" s="249"/>
      <c r="HE48" s="249"/>
      <c r="HF48" s="249"/>
      <c r="HG48" s="249"/>
      <c r="HH48" s="249"/>
      <c r="HI48" s="249"/>
      <c r="HJ48" s="249"/>
      <c r="HK48" s="249"/>
      <c r="HL48" s="249"/>
      <c r="HM48" s="249"/>
      <c r="HN48" s="249"/>
      <c r="HO48" s="249"/>
      <c r="HP48" s="249"/>
      <c r="HQ48" s="249"/>
      <c r="HR48" s="249"/>
      <c r="HS48" s="249"/>
      <c r="HT48" s="249"/>
      <c r="HU48" s="249"/>
      <c r="HV48" s="249"/>
      <c r="HW48" s="249"/>
      <c r="HX48" s="249"/>
      <c r="HY48" s="249"/>
      <c r="HZ48" s="249"/>
      <c r="IA48" s="249"/>
      <c r="IB48" s="249"/>
      <c r="IC48" s="249"/>
      <c r="ID48" s="249"/>
      <c r="IE48" s="249"/>
      <c r="IF48" s="249"/>
      <c r="IG48" s="249"/>
      <c r="IH48" s="249"/>
      <c r="II48" s="249"/>
      <c r="IJ48" s="249"/>
      <c r="IK48" s="249"/>
      <c r="IL48" s="249"/>
      <c r="IM48" s="249"/>
      <c r="IN48" s="249"/>
      <c r="IO48" s="249"/>
      <c r="IP48" s="249"/>
      <c r="IQ48" s="249"/>
      <c r="IR48" s="249"/>
      <c r="IS48" s="249"/>
      <c r="IT48" s="249"/>
      <c r="IU48" s="249"/>
      <c r="IV48" s="249"/>
      <c r="IW48" s="249"/>
    </row>
    <row r="49" customFormat="false" ht="12.75" hidden="false" customHeight="false" outlineLevel="0" collapsed="false">
      <c r="A49" s="54"/>
      <c r="B49" s="30"/>
      <c r="C49" s="30"/>
      <c r="D49" s="196"/>
      <c r="E49" s="196"/>
      <c r="F49" s="196"/>
      <c r="G49" s="196"/>
      <c r="H49" s="196"/>
      <c r="I49" s="196"/>
      <c r="J49" s="196"/>
      <c r="K49" s="196"/>
    </row>
    <row r="50" customFormat="false" ht="12.75" hidden="false" customHeight="false" outlineLevel="0" collapsed="false">
      <c r="A50" s="54"/>
      <c r="B50" s="30"/>
      <c r="C50" s="30"/>
      <c r="D50" s="72"/>
      <c r="E50" s="72"/>
      <c r="F50" s="72"/>
      <c r="G50" s="72"/>
      <c r="H50" s="72"/>
      <c r="I50" s="72"/>
      <c r="J50" s="72"/>
      <c r="K50" s="30"/>
    </row>
    <row r="51" customFormat="false" ht="12.75" hidden="false" customHeight="false" outlineLevel="0" collapsed="false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</row>
    <row r="52" customFormat="false" ht="12.75" hidden="false" customHeight="false" outlineLevel="0" collapsed="false">
      <c r="A52" s="30"/>
      <c r="B52" s="262"/>
      <c r="C52" s="239"/>
      <c r="D52" s="263"/>
      <c r="E52" s="263"/>
      <c r="F52" s="30"/>
      <c r="G52" s="30"/>
      <c r="H52" s="30"/>
      <c r="I52" s="30"/>
      <c r="J52" s="30"/>
      <c r="K52" s="30"/>
    </row>
    <row r="53" customFormat="false" ht="12.75" hidden="false" customHeight="false" outlineLevel="0" collapsed="false">
      <c r="A53" s="30"/>
      <c r="B53" s="262"/>
      <c r="C53" s="262"/>
      <c r="D53" s="264"/>
      <c r="E53" s="264"/>
      <c r="F53" s="30"/>
      <c r="G53" s="30"/>
      <c r="H53" s="30"/>
      <c r="I53" s="30"/>
      <c r="J53" s="30"/>
      <c r="K53" s="3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4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J14" activeCellId="0" sqref="J1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21.7"/>
    <col collapsed="false" customWidth="false" hidden="false" outlineLevel="0" max="6" min="4" style="1" width="9.14"/>
    <col collapsed="false" customWidth="true" hidden="false" outlineLevel="0" max="7" min="7" style="1" width="9.99"/>
    <col collapsed="false" customWidth="false" hidden="false" outlineLevel="0" max="9" min="8" style="1" width="9.14"/>
    <col collapsed="false" customWidth="true" hidden="false" outlineLevel="0" max="10" min="10" style="1" width="8.7"/>
    <col collapsed="false" customWidth="true" hidden="false" outlineLevel="0" max="11" min="11" style="1" width="13.56"/>
    <col collapsed="false" customWidth="true" hidden="false" outlineLevel="0" max="12" min="12" style="1" width="8.99"/>
    <col collapsed="false" customWidth="true" hidden="false" outlineLevel="0" max="13" min="13" style="1" width="13.85"/>
    <col collapsed="false" customWidth="true" hidden="false" outlineLevel="0" max="14" min="14" style="1" width="10.28"/>
    <col collapsed="false" customWidth="true" hidden="false" outlineLevel="0" max="15" min="15" style="1" width="15.13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250</v>
      </c>
      <c r="B1" s="265"/>
      <c r="C1" s="226"/>
    </row>
    <row r="2" customFormat="false" ht="15.75" hidden="false" customHeight="false" outlineLevel="0" collapsed="false">
      <c r="A2" s="185" t="n">
        <f aca="false">ASS!A4</f>
        <v>0</v>
      </c>
      <c r="B2" s="70"/>
      <c r="C2" s="227"/>
    </row>
    <row r="3" customFormat="false" ht="15.75" hidden="false" customHeight="false" outlineLevel="0" collapsed="false">
      <c r="A3" s="186" t="str">
        <f aca="false">ASS!A5</f>
        <v>BASE MODEL</v>
      </c>
      <c r="B3" s="266"/>
      <c r="C3" s="228"/>
    </row>
    <row r="5" customFormat="false" ht="12.75" hidden="false" customHeight="false" outlineLevel="0" collapsed="false">
      <c r="B5" s="267" t="s">
        <v>251</v>
      </c>
      <c r="C5" s="130"/>
      <c r="D5" s="268" t="n">
        <v>13000</v>
      </c>
    </row>
    <row r="6" customFormat="false" ht="12.75" hidden="false" customHeight="false" outlineLevel="0" collapsed="false">
      <c r="B6" s="29"/>
      <c r="E6" s="269" t="s">
        <v>252</v>
      </c>
      <c r="F6" s="269"/>
      <c r="G6" s="269"/>
    </row>
    <row r="7" customFormat="false" ht="12.75" hidden="false" customHeight="false" outlineLevel="0" collapsed="false">
      <c r="B7" s="187"/>
      <c r="C7" s="15"/>
      <c r="D7" s="17"/>
      <c r="E7" s="270" t="s">
        <v>253</v>
      </c>
      <c r="F7" s="271" t="s">
        <v>253</v>
      </c>
      <c r="G7" s="272" t="s">
        <v>254</v>
      </c>
    </row>
    <row r="8" customFormat="false" ht="12.75" hidden="false" customHeight="false" outlineLevel="0" collapsed="false">
      <c r="B8" s="193"/>
      <c r="C8" s="273" t="s">
        <v>255</v>
      </c>
      <c r="D8" s="34"/>
      <c r="E8" s="274" t="s">
        <v>256</v>
      </c>
      <c r="F8" s="273" t="s">
        <v>257</v>
      </c>
      <c r="G8" s="275" t="s">
        <v>257</v>
      </c>
    </row>
    <row r="9" customFormat="false" ht="12.75" hidden="false" customHeight="false" outlineLevel="0" collapsed="false">
      <c r="B9" s="276" t="s">
        <v>258</v>
      </c>
      <c r="C9" s="277" t="s">
        <v>259</v>
      </c>
      <c r="D9" s="34"/>
      <c r="E9" s="278" t="s">
        <v>260</v>
      </c>
      <c r="F9" s="36" t="s">
        <v>261</v>
      </c>
      <c r="G9" s="37" t="s">
        <v>261</v>
      </c>
    </row>
    <row r="10" customFormat="false" ht="12.75" hidden="false" customHeight="false" outlineLevel="0" collapsed="false">
      <c r="A10" s="279" t="n">
        <v>1</v>
      </c>
      <c r="B10" s="280" t="n">
        <v>36739</v>
      </c>
      <c r="C10" s="1" t="s">
        <v>262</v>
      </c>
      <c r="D10" s="34"/>
      <c r="E10" s="281" t="n">
        <v>0.03</v>
      </c>
      <c r="F10" s="282" t="n">
        <f aca="false">E10*$D$5</f>
        <v>390</v>
      </c>
      <c r="G10" s="46" t="n">
        <f aca="false">F10</f>
        <v>390</v>
      </c>
    </row>
    <row r="11" customFormat="false" ht="12.75" hidden="false" customHeight="false" outlineLevel="0" collapsed="false">
      <c r="A11" s="1" t="n">
        <f aca="false">A10+1</f>
        <v>2</v>
      </c>
      <c r="B11" s="280" t="n">
        <v>36770</v>
      </c>
      <c r="C11" s="30" t="s">
        <v>263</v>
      </c>
      <c r="D11" s="34"/>
      <c r="E11" s="281" t="n">
        <v>0.2</v>
      </c>
      <c r="F11" s="282" t="n">
        <f aca="false">E11*$D$5</f>
        <v>2600</v>
      </c>
      <c r="G11" s="46" t="n">
        <f aca="false">F11+G10</f>
        <v>2990</v>
      </c>
    </row>
    <row r="12" customFormat="false" ht="12.75" hidden="false" customHeight="false" outlineLevel="0" collapsed="false">
      <c r="A12" s="1" t="n">
        <f aca="false">A11+1</f>
        <v>3</v>
      </c>
      <c r="B12" s="280" t="n">
        <v>36800</v>
      </c>
      <c r="C12" s="1" t="s">
        <v>264</v>
      </c>
      <c r="D12" s="34"/>
      <c r="E12" s="281" t="n">
        <v>0</v>
      </c>
      <c r="F12" s="282" t="n">
        <f aca="false">E12*$D$5</f>
        <v>0</v>
      </c>
      <c r="G12" s="46" t="n">
        <f aca="false">F12+G11</f>
        <v>2990</v>
      </c>
    </row>
    <row r="13" customFormat="false" ht="12.75" hidden="false" customHeight="false" outlineLevel="0" collapsed="false">
      <c r="A13" s="1" t="n">
        <f aca="false">A12+1</f>
        <v>4</v>
      </c>
      <c r="B13" s="280" t="n">
        <v>36831</v>
      </c>
      <c r="C13" s="1" t="s">
        <v>265</v>
      </c>
      <c r="D13" s="34"/>
      <c r="E13" s="281" t="n">
        <v>0.06</v>
      </c>
      <c r="F13" s="282" t="n">
        <f aca="false">E13*$D$5</f>
        <v>780</v>
      </c>
      <c r="G13" s="46" t="n">
        <f aca="false">F13+G12</f>
        <v>3770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false" outlineLevel="0" collapsed="false">
      <c r="A14" s="1" t="n">
        <f aca="false">A13+1</f>
        <v>5</v>
      </c>
      <c r="B14" s="280" t="n">
        <v>36861</v>
      </c>
      <c r="C14" s="30" t="s">
        <v>266</v>
      </c>
      <c r="D14" s="34"/>
      <c r="E14" s="281" t="n">
        <v>0.7</v>
      </c>
      <c r="F14" s="282" t="n">
        <f aca="false">E14*$D$5</f>
        <v>9100</v>
      </c>
      <c r="G14" s="46" t="n">
        <f aca="false">F14+G13</f>
        <v>12870</v>
      </c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false" outlineLevel="0" collapsed="false">
      <c r="A15" s="1" t="n">
        <f aca="false">A14+1</f>
        <v>6</v>
      </c>
      <c r="B15" s="280" t="n">
        <v>36892</v>
      </c>
      <c r="C15" s="30" t="s">
        <v>267</v>
      </c>
      <c r="D15" s="34"/>
      <c r="E15" s="283" t="n">
        <v>0</v>
      </c>
      <c r="F15" s="282" t="n">
        <f aca="false">E15*$D$5</f>
        <v>0</v>
      </c>
      <c r="G15" s="46" t="n">
        <f aca="false">F15+G14</f>
        <v>12870</v>
      </c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false" outlineLevel="0" collapsed="false">
      <c r="A16" s="1" t="n">
        <f aca="false">A15+1</f>
        <v>7</v>
      </c>
      <c r="B16" s="280" t="n">
        <v>36923</v>
      </c>
      <c r="C16" s="30" t="s">
        <v>267</v>
      </c>
      <c r="D16" s="34"/>
      <c r="E16" s="283" t="n">
        <f aca="false">IF(TERM_C&gt;=A16,1/TERM_C,0)</f>
        <v>0</v>
      </c>
      <c r="F16" s="282" t="n">
        <f aca="false">E16*$D$5</f>
        <v>0</v>
      </c>
      <c r="G16" s="46" t="n">
        <f aca="false">F16+G15</f>
        <v>12870</v>
      </c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2.75" hidden="false" customHeight="false" outlineLevel="0" collapsed="false">
      <c r="A17" s="1" t="n">
        <f aca="false">A16+1</f>
        <v>8</v>
      </c>
      <c r="B17" s="280" t="n">
        <v>36951</v>
      </c>
      <c r="C17" s="30" t="s">
        <v>267</v>
      </c>
      <c r="D17" s="34"/>
      <c r="E17" s="283" t="n">
        <f aca="false">IF(TERM_C&gt;=A17,1/TERM_C,0)</f>
        <v>0</v>
      </c>
      <c r="F17" s="282" t="n">
        <f aca="false">E17*$D$5</f>
        <v>0</v>
      </c>
      <c r="G17" s="46" t="n">
        <f aca="false">F17+G16</f>
        <v>12870</v>
      </c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false" outlineLevel="0" collapsed="false">
      <c r="A18" s="1" t="n">
        <f aca="false">A17+1</f>
        <v>9</v>
      </c>
      <c r="B18" s="280" t="n">
        <v>36982</v>
      </c>
      <c r="C18" s="30" t="s">
        <v>267</v>
      </c>
      <c r="D18" s="34"/>
      <c r="E18" s="283" t="n">
        <f aca="false">IF(TERM_C&gt;=A18,1/TERM_C,0)</f>
        <v>0</v>
      </c>
      <c r="F18" s="282" t="n">
        <f aca="false">E18*$D$5</f>
        <v>0</v>
      </c>
      <c r="G18" s="46" t="n">
        <f aca="false">F18+G17</f>
        <v>12870</v>
      </c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false" outlineLevel="0" collapsed="false">
      <c r="A19" s="1" t="n">
        <f aca="false">A18+1</f>
        <v>10</v>
      </c>
      <c r="B19" s="280" t="n">
        <v>37012</v>
      </c>
      <c r="C19" s="30" t="s">
        <v>267</v>
      </c>
      <c r="D19" s="34"/>
      <c r="E19" s="283" t="n">
        <f aca="false">IF(TERM_C&gt;=A19,1/TERM_C,0)</f>
        <v>0</v>
      </c>
      <c r="F19" s="282" t="n">
        <f aca="false">E19*$D$5</f>
        <v>0</v>
      </c>
      <c r="G19" s="46" t="n">
        <f aca="false">F19+G18</f>
        <v>12870</v>
      </c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false" outlineLevel="0" collapsed="false">
      <c r="A20" s="1" t="n">
        <f aca="false">A19+1</f>
        <v>11</v>
      </c>
      <c r="B20" s="280" t="n">
        <v>37043</v>
      </c>
      <c r="C20" s="30" t="s">
        <v>268</v>
      </c>
      <c r="D20" s="34"/>
      <c r="E20" s="283" t="n">
        <f aca="false">IF(TERM_C&gt;=A20,1/TERM_C,0)</f>
        <v>0</v>
      </c>
      <c r="F20" s="282" t="n">
        <f aca="false">E20*$D$5</f>
        <v>0</v>
      </c>
      <c r="G20" s="46" t="n">
        <f aca="false">F20+G19</f>
        <v>12870</v>
      </c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false" outlineLevel="0" collapsed="false">
      <c r="A21" s="1" t="n">
        <f aca="false">A20+1</f>
        <v>12</v>
      </c>
      <c r="B21" s="280" t="n">
        <v>37073</v>
      </c>
      <c r="C21" s="30" t="s">
        <v>268</v>
      </c>
      <c r="D21" s="34"/>
      <c r="E21" s="283" t="n">
        <f aca="false">IF(TERM_C&gt;=A21,1/TERM_C,0)</f>
        <v>0</v>
      </c>
      <c r="F21" s="282" t="n">
        <f aca="false">E21*$D$5</f>
        <v>0</v>
      </c>
      <c r="G21" s="46" t="n">
        <f aca="false">F21+G20</f>
        <v>12870</v>
      </c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false" outlineLevel="0" collapsed="false">
      <c r="A22" s="1" t="n">
        <f aca="false">A21+1</f>
        <v>13</v>
      </c>
      <c r="B22" s="280" t="n">
        <v>37104</v>
      </c>
      <c r="C22" s="30" t="s">
        <v>268</v>
      </c>
      <c r="D22" s="34"/>
      <c r="E22" s="283" t="n">
        <f aca="false">IF(TERM_C&gt;=A22,1/TERM_C,0)</f>
        <v>0</v>
      </c>
      <c r="F22" s="282" t="n">
        <f aca="false">E22*$D$5</f>
        <v>0</v>
      </c>
      <c r="G22" s="46" t="n">
        <f aca="false">F22+G21</f>
        <v>12870</v>
      </c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false" outlineLevel="0" collapsed="false">
      <c r="A23" s="1" t="n">
        <f aca="false">A22+1</f>
        <v>14</v>
      </c>
      <c r="B23" s="280" t="n">
        <v>37135</v>
      </c>
      <c r="C23" s="30" t="s">
        <v>268</v>
      </c>
      <c r="D23" s="34"/>
      <c r="E23" s="283" t="n">
        <f aca="false">IF(TERM_C&gt;=A23,1/TERM_C,0)</f>
        <v>0</v>
      </c>
      <c r="F23" s="282" t="n">
        <f aca="false">E23*$D$5</f>
        <v>0</v>
      </c>
      <c r="G23" s="46" t="n">
        <f aca="false">F23+G22</f>
        <v>12870</v>
      </c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false" outlineLevel="0" collapsed="false">
      <c r="A24" s="1" t="n">
        <f aca="false">A23+1</f>
        <v>15</v>
      </c>
      <c r="B24" s="280" t="n">
        <v>37165</v>
      </c>
      <c r="C24" s="30" t="s">
        <v>268</v>
      </c>
      <c r="D24" s="34"/>
      <c r="E24" s="283" t="n">
        <f aca="false">IF(TERM_C&gt;=A24,1/TERM_C,0)</f>
        <v>0</v>
      </c>
      <c r="F24" s="282" t="n">
        <f aca="false">E24*$D$5</f>
        <v>0</v>
      </c>
      <c r="G24" s="46" t="n">
        <f aca="false">F24+G23</f>
        <v>12870</v>
      </c>
    </row>
    <row r="25" customFormat="false" ht="12.75" hidden="false" customHeight="false" outlineLevel="0" collapsed="false">
      <c r="A25" s="1" t="n">
        <f aca="false">A24+1</f>
        <v>16</v>
      </c>
      <c r="B25" s="280" t="n">
        <v>37196</v>
      </c>
      <c r="C25" s="30" t="s">
        <v>268</v>
      </c>
      <c r="D25" s="34"/>
      <c r="E25" s="283" t="n">
        <f aca="false">IF(TERM_C&gt;=A25,1/TERM_C,0)</f>
        <v>0</v>
      </c>
      <c r="F25" s="282" t="n">
        <f aca="false">E25*$D$5</f>
        <v>0</v>
      </c>
      <c r="G25" s="46" t="n">
        <f aca="false">F25+G24</f>
        <v>12870</v>
      </c>
    </row>
    <row r="26" customFormat="false" ht="12.75" hidden="false" customHeight="false" outlineLevel="0" collapsed="false">
      <c r="A26" s="1" t="n">
        <f aca="false">A25+1</f>
        <v>17</v>
      </c>
      <c r="B26" s="280" t="n">
        <v>37226</v>
      </c>
      <c r="C26" s="30" t="s">
        <v>268</v>
      </c>
      <c r="D26" s="34"/>
      <c r="E26" s="283" t="n">
        <f aca="false">IF(TERM_C&gt;=A26,1/TERM_C,0)</f>
        <v>0</v>
      </c>
      <c r="F26" s="282" t="n">
        <f aca="false">E26*$D$5</f>
        <v>0</v>
      </c>
      <c r="G26" s="46" t="n">
        <f aca="false">F26+G25</f>
        <v>12870</v>
      </c>
    </row>
    <row r="27" customFormat="false" ht="12.75" hidden="false" customHeight="false" outlineLevel="0" collapsed="false">
      <c r="A27" s="1" t="n">
        <f aca="false">A26+1</f>
        <v>18</v>
      </c>
      <c r="B27" s="280" t="n">
        <v>37257</v>
      </c>
      <c r="C27" s="30" t="s">
        <v>268</v>
      </c>
      <c r="D27" s="34"/>
      <c r="E27" s="283" t="n">
        <f aca="false">IF(TERM_C&gt;=A27,1/TERM_C,0)</f>
        <v>0</v>
      </c>
      <c r="F27" s="282" t="n">
        <f aca="false">E27*$D$5</f>
        <v>0</v>
      </c>
      <c r="G27" s="46" t="n">
        <f aca="false">F27+G26</f>
        <v>12870</v>
      </c>
    </row>
    <row r="28" customFormat="false" ht="12.75" hidden="false" customHeight="false" outlineLevel="0" collapsed="false">
      <c r="A28" s="1" t="n">
        <f aca="false">A27+1</f>
        <v>19</v>
      </c>
      <c r="B28" s="280" t="n">
        <v>37288</v>
      </c>
      <c r="C28" s="30" t="s">
        <v>268</v>
      </c>
      <c r="D28" s="34"/>
      <c r="E28" s="283" t="n">
        <f aca="false">IF(TERM_C&gt;=A28,1/TERM_C,0)</f>
        <v>0</v>
      </c>
      <c r="F28" s="282" t="n">
        <f aca="false">E28*$D$5</f>
        <v>0</v>
      </c>
      <c r="G28" s="46" t="n">
        <f aca="false">F28+G27</f>
        <v>12870</v>
      </c>
    </row>
    <row r="29" customFormat="false" ht="12.75" hidden="false" customHeight="false" outlineLevel="0" collapsed="false">
      <c r="A29" s="1" t="n">
        <f aca="false">A28+1</f>
        <v>20</v>
      </c>
      <c r="B29" s="280" t="n">
        <v>37316</v>
      </c>
      <c r="C29" s="30" t="s">
        <v>268</v>
      </c>
      <c r="D29" s="34"/>
      <c r="E29" s="283" t="n">
        <f aca="false">IF(TERM_C&gt;=A29,1/TERM_C,0)</f>
        <v>0</v>
      </c>
      <c r="F29" s="282" t="n">
        <f aca="false">E29*$D$5</f>
        <v>0</v>
      </c>
      <c r="G29" s="46" t="n">
        <f aca="false">F29+G28</f>
        <v>12870</v>
      </c>
    </row>
    <row r="30" customFormat="false" ht="12.75" hidden="false" customHeight="false" outlineLevel="0" collapsed="false">
      <c r="A30" s="1" t="n">
        <f aca="false">A29+1</f>
        <v>21</v>
      </c>
      <c r="B30" s="280" t="n">
        <v>37347</v>
      </c>
      <c r="C30" s="30" t="s">
        <v>268</v>
      </c>
      <c r="D30" s="34"/>
      <c r="E30" s="283" t="n">
        <f aca="false">IF(TERM_C&gt;=A30,1/TERM_C,0)</f>
        <v>0</v>
      </c>
      <c r="F30" s="282" t="n">
        <f aca="false">E30*$D$5</f>
        <v>0</v>
      </c>
      <c r="G30" s="46" t="n">
        <f aca="false">F30+G29</f>
        <v>12870</v>
      </c>
    </row>
    <row r="31" customFormat="false" ht="12.75" hidden="false" customHeight="false" outlineLevel="0" collapsed="false">
      <c r="A31" s="1" t="n">
        <f aca="false">A30+1</f>
        <v>22</v>
      </c>
      <c r="B31" s="280" t="n">
        <v>37377</v>
      </c>
      <c r="C31" s="30" t="s">
        <v>268</v>
      </c>
      <c r="D31" s="34"/>
      <c r="E31" s="283" t="n">
        <f aca="false">IF(TERM_C&gt;=A31,1/TERM_C,0)</f>
        <v>0</v>
      </c>
      <c r="F31" s="282" t="n">
        <f aca="false">E31*$D$5</f>
        <v>0</v>
      </c>
      <c r="G31" s="46" t="n">
        <f aca="false">F31+G30</f>
        <v>12870</v>
      </c>
    </row>
    <row r="32" customFormat="false" ht="12.75" hidden="false" customHeight="false" outlineLevel="0" collapsed="false">
      <c r="A32" s="1" t="n">
        <f aca="false">A31+1</f>
        <v>23</v>
      </c>
      <c r="B32" s="280" t="n">
        <v>37408</v>
      </c>
      <c r="C32" s="30" t="s">
        <v>268</v>
      </c>
      <c r="D32" s="34"/>
      <c r="E32" s="283" t="n">
        <f aca="false">IF(TERM_C&gt;=A32,1/TERM_C,0)</f>
        <v>0</v>
      </c>
      <c r="F32" s="282" t="n">
        <f aca="false">E32*$D$5</f>
        <v>0</v>
      </c>
      <c r="G32" s="46" t="n">
        <f aca="false">F32+G31</f>
        <v>12870</v>
      </c>
    </row>
    <row r="33" customFormat="false" ht="12.75" hidden="false" customHeight="false" outlineLevel="0" collapsed="false">
      <c r="A33" s="1" t="n">
        <f aca="false">A32+1</f>
        <v>24</v>
      </c>
      <c r="B33" s="280" t="n">
        <v>37438</v>
      </c>
      <c r="C33" s="30" t="s">
        <v>268</v>
      </c>
      <c r="D33" s="34"/>
      <c r="E33" s="283" t="n">
        <f aca="false">IF(TERM_C&gt;=A33,1/TERM_C,0)</f>
        <v>0</v>
      </c>
      <c r="F33" s="282" t="n">
        <f aca="false">E33*$D$5</f>
        <v>0</v>
      </c>
      <c r="G33" s="46" t="n">
        <f aca="false">F33+G32</f>
        <v>12870</v>
      </c>
    </row>
    <row r="34" customFormat="false" ht="12.75" hidden="false" customHeight="false" outlineLevel="0" collapsed="false">
      <c r="A34" s="1" t="n">
        <f aca="false">A33+1</f>
        <v>25</v>
      </c>
      <c r="B34" s="280" t="n">
        <v>37469</v>
      </c>
      <c r="C34" s="30" t="s">
        <v>268</v>
      </c>
      <c r="D34" s="34"/>
      <c r="E34" s="283" t="n">
        <f aca="false">IF(TERM_C&gt;=A34,1/TERM_C,0)</f>
        <v>0</v>
      </c>
      <c r="F34" s="282" t="n">
        <f aca="false">E34*$D$5</f>
        <v>0</v>
      </c>
      <c r="G34" s="46" t="n">
        <f aca="false">F34+G33</f>
        <v>12870</v>
      </c>
    </row>
    <row r="35" customFormat="false" ht="12.75" hidden="false" customHeight="false" outlineLevel="0" collapsed="false">
      <c r="A35" s="1" t="n">
        <f aca="false">A34+1</f>
        <v>26</v>
      </c>
      <c r="B35" s="280" t="n">
        <v>37500</v>
      </c>
      <c r="C35" s="30" t="s">
        <v>268</v>
      </c>
      <c r="D35" s="34"/>
      <c r="E35" s="283" t="n">
        <f aca="false">IF(TERM_C&gt;=A35,1/TERM_C,0)</f>
        <v>0</v>
      </c>
      <c r="F35" s="282" t="n">
        <f aca="false">E35*$D$5</f>
        <v>0</v>
      </c>
      <c r="G35" s="46" t="n">
        <f aca="false">F35+G34</f>
        <v>12870</v>
      </c>
    </row>
    <row r="36" customFormat="false" ht="12.75" hidden="false" customHeight="false" outlineLevel="0" collapsed="false">
      <c r="A36" s="1" t="n">
        <f aca="false">A35+1</f>
        <v>27</v>
      </c>
      <c r="B36" s="280" t="n">
        <v>37530</v>
      </c>
      <c r="C36" s="30" t="s">
        <v>268</v>
      </c>
      <c r="D36" s="34"/>
      <c r="E36" s="283" t="n">
        <f aca="false">IF(TERM_C&gt;=A36,1/TERM_C,0)</f>
        <v>0</v>
      </c>
      <c r="F36" s="282" t="n">
        <f aca="false">E36*$D$5</f>
        <v>0</v>
      </c>
      <c r="G36" s="46" t="n">
        <f aca="false">F36+G35</f>
        <v>12870</v>
      </c>
    </row>
    <row r="37" customFormat="false" ht="12.75" hidden="false" customHeight="false" outlineLevel="0" collapsed="false">
      <c r="A37" s="1" t="n">
        <f aca="false">A36+1</f>
        <v>28</v>
      </c>
      <c r="B37" s="280" t="n">
        <v>37561</v>
      </c>
      <c r="C37" s="30" t="s">
        <v>268</v>
      </c>
      <c r="D37" s="34"/>
      <c r="E37" s="283" t="n">
        <f aca="false">IF(TERM_C&gt;=A37,1/TERM_C,0)</f>
        <v>0</v>
      </c>
      <c r="F37" s="282" t="n">
        <f aca="false">E37*$D$5</f>
        <v>0</v>
      </c>
      <c r="G37" s="46" t="n">
        <f aca="false">F37+G36</f>
        <v>12870</v>
      </c>
    </row>
    <row r="38" customFormat="false" ht="12.75" hidden="false" customHeight="false" outlineLevel="0" collapsed="false">
      <c r="A38" s="1" t="n">
        <f aca="false">A37+1</f>
        <v>29</v>
      </c>
      <c r="B38" s="280" t="n">
        <v>37591</v>
      </c>
      <c r="C38" s="30" t="s">
        <v>268</v>
      </c>
      <c r="D38" s="34"/>
      <c r="E38" s="283" t="n">
        <f aca="false">IF(TERM_C&gt;=A38,1/TERM_C,0)</f>
        <v>0</v>
      </c>
      <c r="F38" s="282" t="n">
        <f aca="false">E38*$D$5</f>
        <v>0</v>
      </c>
      <c r="G38" s="46" t="n">
        <f aca="false">F38+G37</f>
        <v>12870</v>
      </c>
    </row>
    <row r="39" customFormat="false" ht="12.75" hidden="false" customHeight="false" outlineLevel="0" collapsed="false">
      <c r="A39" s="1" t="n">
        <f aca="false">A38+1</f>
        <v>30</v>
      </c>
      <c r="B39" s="280" t="n">
        <v>37622</v>
      </c>
      <c r="C39" s="30" t="s">
        <v>268</v>
      </c>
      <c r="D39" s="34"/>
      <c r="E39" s="283" t="n">
        <f aca="false">IF(TERM_C&gt;=A39,1/TERM_C,0)</f>
        <v>0</v>
      </c>
      <c r="F39" s="282" t="n">
        <f aca="false">E39*$D$5</f>
        <v>0</v>
      </c>
      <c r="G39" s="46" t="n">
        <f aca="false">F39+G38</f>
        <v>12870</v>
      </c>
    </row>
    <row r="40" customFormat="false" ht="12.75" hidden="false" customHeight="false" outlineLevel="0" collapsed="false">
      <c r="A40" s="1" t="n">
        <f aca="false">A39+1</f>
        <v>31</v>
      </c>
      <c r="B40" s="280" t="n">
        <v>37653</v>
      </c>
      <c r="C40" s="30" t="s">
        <v>268</v>
      </c>
      <c r="D40" s="34"/>
      <c r="E40" s="283" t="n">
        <f aca="false">IF(TERM_C&gt;=A40,1/TERM_C,0)</f>
        <v>0</v>
      </c>
      <c r="F40" s="282" t="n">
        <f aca="false">E40*$D$5</f>
        <v>0</v>
      </c>
      <c r="G40" s="46" t="n">
        <f aca="false">F40+G39</f>
        <v>12870</v>
      </c>
    </row>
    <row r="41" customFormat="false" ht="12.75" hidden="false" customHeight="false" outlineLevel="0" collapsed="false">
      <c r="A41" s="1" t="n">
        <f aca="false">A40+1</f>
        <v>32</v>
      </c>
      <c r="B41" s="280" t="n">
        <v>37681</v>
      </c>
      <c r="C41" s="30" t="s">
        <v>268</v>
      </c>
      <c r="D41" s="34"/>
      <c r="E41" s="283" t="n">
        <f aca="false">IF(TERM_C&gt;=A41,1/TERM_C,0)</f>
        <v>0</v>
      </c>
      <c r="F41" s="282" t="n">
        <f aca="false">E41*$D$5</f>
        <v>0</v>
      </c>
      <c r="G41" s="46" t="n">
        <f aca="false">F41+G40</f>
        <v>12870</v>
      </c>
    </row>
    <row r="42" customFormat="false" ht="12.75" hidden="false" customHeight="false" outlineLevel="0" collapsed="false">
      <c r="A42" s="1" t="n">
        <f aca="false">A41+1</f>
        <v>33</v>
      </c>
      <c r="B42" s="280" t="n">
        <v>37712</v>
      </c>
      <c r="C42" s="30" t="s">
        <v>268</v>
      </c>
      <c r="D42" s="34"/>
      <c r="E42" s="283" t="n">
        <f aca="false">IF(TERM_C&gt;=A42,1/TERM_C,0)</f>
        <v>0</v>
      </c>
      <c r="F42" s="282" t="n">
        <f aca="false">E42*$D$5</f>
        <v>0</v>
      </c>
      <c r="G42" s="46" t="n">
        <f aca="false">F42+G41</f>
        <v>12870</v>
      </c>
    </row>
    <row r="43" customFormat="false" ht="12.75" hidden="false" customHeight="false" outlineLevel="0" collapsed="false">
      <c r="A43" s="1" t="n">
        <f aca="false">A42+1</f>
        <v>34</v>
      </c>
      <c r="B43" s="280" t="n">
        <v>37742</v>
      </c>
      <c r="C43" s="30" t="s">
        <v>268</v>
      </c>
      <c r="D43" s="34"/>
      <c r="E43" s="283" t="n">
        <f aca="false">IF(TERM_C&gt;=A43,1/TERM_C,0)</f>
        <v>0</v>
      </c>
      <c r="F43" s="282" t="n">
        <f aca="false">E43*$D$5</f>
        <v>0</v>
      </c>
      <c r="G43" s="46" t="n">
        <f aca="false">F43+G42</f>
        <v>12870</v>
      </c>
    </row>
    <row r="44" customFormat="false" ht="12.75" hidden="false" customHeight="false" outlineLevel="0" collapsed="false">
      <c r="A44" s="1" t="n">
        <f aca="false">A43+1</f>
        <v>35</v>
      </c>
      <c r="B44" s="280" t="n">
        <v>37773</v>
      </c>
      <c r="C44" s="30" t="s">
        <v>268</v>
      </c>
      <c r="D44" s="34"/>
      <c r="E44" s="283" t="n">
        <f aca="false">IF(TERM_C&gt;=A44,1/TERM_C,0)</f>
        <v>0</v>
      </c>
      <c r="F44" s="282" t="n">
        <f aca="false">E44*$D$5</f>
        <v>0</v>
      </c>
      <c r="G44" s="46" t="n">
        <f aca="false">F44+G43</f>
        <v>12870</v>
      </c>
    </row>
    <row r="45" customFormat="false" ht="12.75" hidden="false" customHeight="false" outlineLevel="0" collapsed="false">
      <c r="A45" s="1" t="n">
        <f aca="false">A44+1</f>
        <v>36</v>
      </c>
      <c r="B45" s="280" t="n">
        <v>37803</v>
      </c>
      <c r="C45" s="30" t="s">
        <v>268</v>
      </c>
      <c r="D45" s="34"/>
      <c r="E45" s="283" t="n">
        <f aca="false">IF(TERM_C&gt;=A45,1/TERM_C,0)</f>
        <v>0</v>
      </c>
      <c r="F45" s="282" t="n">
        <f aca="false">E45*$D$5</f>
        <v>0</v>
      </c>
      <c r="G45" s="46" t="n">
        <f aca="false">F45+G44</f>
        <v>12870</v>
      </c>
    </row>
    <row r="46" customFormat="false" ht="12.75" hidden="false" customHeight="false" outlineLevel="0" collapsed="false">
      <c r="A46" s="1" t="n">
        <f aca="false">A45+1</f>
        <v>37</v>
      </c>
      <c r="B46" s="280" t="n">
        <v>37834</v>
      </c>
      <c r="C46" s="30" t="s">
        <v>268</v>
      </c>
      <c r="D46" s="34"/>
      <c r="E46" s="283" t="n">
        <f aca="false">IF(TERM_C&gt;=A46,1/TERM_C,0)</f>
        <v>0</v>
      </c>
      <c r="F46" s="282" t="n">
        <f aca="false">E46*$D$5</f>
        <v>0</v>
      </c>
      <c r="G46" s="46" t="n">
        <f aca="false">F46+G45</f>
        <v>12870</v>
      </c>
    </row>
    <row r="47" customFormat="false" ht="12.75" hidden="false" customHeight="false" outlineLevel="0" collapsed="false">
      <c r="A47" s="1" t="n">
        <f aca="false">A46+1</f>
        <v>38</v>
      </c>
      <c r="B47" s="280" t="n">
        <v>37865</v>
      </c>
      <c r="C47" s="30" t="s">
        <v>268</v>
      </c>
      <c r="D47" s="34"/>
      <c r="E47" s="283" t="n">
        <f aca="false">IF(TERM_C&gt;=A47,1/TERM_C,0)</f>
        <v>0</v>
      </c>
      <c r="F47" s="282" t="n">
        <f aca="false">E47*$D$5</f>
        <v>0</v>
      </c>
      <c r="G47" s="46" t="n">
        <f aca="false">F47+G46</f>
        <v>12870</v>
      </c>
    </row>
    <row r="48" customFormat="false" ht="12.75" hidden="false" customHeight="false" outlineLevel="0" collapsed="false">
      <c r="A48" s="1" t="n">
        <f aca="false">A47+1</f>
        <v>39</v>
      </c>
      <c r="B48" s="280" t="n">
        <v>37895</v>
      </c>
      <c r="C48" s="30" t="s">
        <v>268</v>
      </c>
      <c r="D48" s="34"/>
      <c r="E48" s="283" t="n">
        <f aca="false">IF(TERM_C&gt;=A48,1/TERM_C,0)</f>
        <v>0</v>
      </c>
      <c r="F48" s="282" t="n">
        <f aca="false">E48*$D$5</f>
        <v>0</v>
      </c>
      <c r="G48" s="46" t="n">
        <f aca="false">F48+G47</f>
        <v>12870</v>
      </c>
    </row>
    <row r="49" customFormat="false" ht="12.75" hidden="false" customHeight="false" outlineLevel="0" collapsed="false">
      <c r="A49" s="1" t="n">
        <f aca="false">A48+1</f>
        <v>40</v>
      </c>
      <c r="B49" s="280" t="n">
        <v>37926</v>
      </c>
      <c r="C49" s="30" t="s">
        <v>268</v>
      </c>
      <c r="D49" s="34"/>
      <c r="E49" s="283" t="n">
        <f aca="false">IF(TERM_C&gt;=A49,1/TERM_C,0)</f>
        <v>0</v>
      </c>
      <c r="F49" s="282" t="n">
        <f aca="false">E49*$D$5</f>
        <v>0</v>
      </c>
      <c r="G49" s="46" t="n">
        <f aca="false">F49+G48</f>
        <v>12870</v>
      </c>
    </row>
    <row r="50" customFormat="false" ht="12.75" hidden="false" customHeight="false" outlineLevel="0" collapsed="false">
      <c r="A50" s="1" t="n">
        <f aca="false">A49+1</f>
        <v>41</v>
      </c>
      <c r="B50" s="280" t="n">
        <v>37956</v>
      </c>
      <c r="C50" s="30" t="s">
        <v>268</v>
      </c>
      <c r="D50" s="34"/>
      <c r="E50" s="283" t="n">
        <f aca="false">IF(TERM_C&gt;=A50,1/TERM_C,0)</f>
        <v>0</v>
      </c>
      <c r="F50" s="282" t="n">
        <f aca="false">E50*$D$5</f>
        <v>0</v>
      </c>
      <c r="G50" s="46" t="n">
        <f aca="false">F50+G49</f>
        <v>12870</v>
      </c>
    </row>
    <row r="51" customFormat="false" ht="12.75" hidden="false" customHeight="false" outlineLevel="0" collapsed="false">
      <c r="A51" s="1" t="n">
        <f aca="false">A50+1</f>
        <v>42</v>
      </c>
      <c r="B51" s="280" t="n">
        <v>37987</v>
      </c>
      <c r="C51" s="30"/>
      <c r="D51" s="34"/>
      <c r="E51" s="283" t="n">
        <f aca="false">IF(TERM_C&gt;=A51,1/TERM_C,0)</f>
        <v>0</v>
      </c>
      <c r="F51" s="282" t="n">
        <f aca="false">E51*$D$5</f>
        <v>0</v>
      </c>
      <c r="G51" s="46" t="n">
        <f aca="false">F51+G50</f>
        <v>12870</v>
      </c>
    </row>
    <row r="52" customFormat="false" ht="12.75" hidden="false" customHeight="false" outlineLevel="0" collapsed="false">
      <c r="A52" s="1" t="n">
        <f aca="false">A51+1</f>
        <v>43</v>
      </c>
      <c r="B52" s="280" t="n">
        <v>38018</v>
      </c>
      <c r="C52" s="30"/>
      <c r="D52" s="34"/>
      <c r="E52" s="283" t="n">
        <f aca="false">IF(TERM_C&gt;=A52,1/TERM_C,0)</f>
        <v>0</v>
      </c>
      <c r="F52" s="282" t="n">
        <f aca="false">E52*$D$5</f>
        <v>0</v>
      </c>
      <c r="G52" s="46" t="n">
        <f aca="false">F52+G51</f>
        <v>12870</v>
      </c>
    </row>
    <row r="53" customFormat="false" ht="12.75" hidden="false" customHeight="false" outlineLevel="0" collapsed="false">
      <c r="A53" s="1" t="n">
        <f aca="false">A52+1</f>
        <v>44</v>
      </c>
      <c r="B53" s="280" t="n">
        <v>38047</v>
      </c>
      <c r="C53" s="30"/>
      <c r="D53" s="34"/>
      <c r="E53" s="283" t="n">
        <f aca="false">IF(TERM_C&gt;=A53,1/TERM_C,0)</f>
        <v>0</v>
      </c>
      <c r="F53" s="282" t="n">
        <f aca="false">E53*$D$5</f>
        <v>0</v>
      </c>
      <c r="G53" s="46" t="n">
        <f aca="false">F53+G52</f>
        <v>12870</v>
      </c>
    </row>
    <row r="54" customFormat="false" ht="12.75" hidden="false" customHeight="false" outlineLevel="0" collapsed="false">
      <c r="A54" s="1" t="n">
        <f aca="false">A53+1</f>
        <v>45</v>
      </c>
      <c r="B54" s="280" t="n">
        <v>38078</v>
      </c>
      <c r="C54" s="30"/>
      <c r="D54" s="34"/>
      <c r="E54" s="283" t="n">
        <f aca="false">IF(TERM_C&gt;=A54,1/TERM_C,0)</f>
        <v>0</v>
      </c>
      <c r="F54" s="282" t="n">
        <f aca="false">E54*$D$5</f>
        <v>0</v>
      </c>
      <c r="G54" s="46" t="n">
        <f aca="false">F54+G53</f>
        <v>12870</v>
      </c>
    </row>
    <row r="55" customFormat="false" ht="12.75" hidden="false" customHeight="false" outlineLevel="0" collapsed="false">
      <c r="A55" s="1" t="n">
        <f aca="false">A54+1</f>
        <v>46</v>
      </c>
      <c r="B55" s="280" t="n">
        <v>38108</v>
      </c>
      <c r="C55" s="30"/>
      <c r="D55" s="34"/>
      <c r="E55" s="283" t="n">
        <f aca="false">IF(TERM_C&gt;=A55,1/TERM_C,0)</f>
        <v>0</v>
      </c>
      <c r="F55" s="282" t="n">
        <f aca="false">E55*$D$5</f>
        <v>0</v>
      </c>
      <c r="G55" s="46" t="n">
        <f aca="false">F55+G54</f>
        <v>12870</v>
      </c>
    </row>
    <row r="56" customFormat="false" ht="12.75" hidden="false" customHeight="false" outlineLevel="0" collapsed="false">
      <c r="A56" s="1" t="n">
        <f aca="false">A55+1</f>
        <v>47</v>
      </c>
      <c r="B56" s="280" t="n">
        <v>38139</v>
      </c>
      <c r="C56" s="30"/>
      <c r="D56" s="34"/>
      <c r="E56" s="283" t="n">
        <f aca="false">IF(TERM_C&gt;=A56,1/TERM_C,0)</f>
        <v>0</v>
      </c>
      <c r="F56" s="282" t="n">
        <f aca="false">E56*$D$5</f>
        <v>0</v>
      </c>
      <c r="G56" s="46" t="n">
        <f aca="false">F56+G55</f>
        <v>12870</v>
      </c>
    </row>
    <row r="57" customFormat="false" ht="12.75" hidden="false" customHeight="false" outlineLevel="0" collapsed="false">
      <c r="A57" s="1" t="n">
        <f aca="false">A56+1</f>
        <v>48</v>
      </c>
      <c r="B57" s="280" t="n">
        <v>38169</v>
      </c>
      <c r="C57" s="30"/>
      <c r="D57" s="34"/>
      <c r="E57" s="283" t="n">
        <f aca="false">IF(TERM_C&gt;=A57,1/TERM_C,0)</f>
        <v>0</v>
      </c>
      <c r="F57" s="282" t="n">
        <f aca="false">E57*$D$5</f>
        <v>0</v>
      </c>
      <c r="G57" s="46" t="n">
        <f aca="false">F57+G56</f>
        <v>12870</v>
      </c>
    </row>
    <row r="58" customFormat="false" ht="12.75" hidden="false" customHeight="false" outlineLevel="0" collapsed="false">
      <c r="A58" s="1" t="n">
        <f aca="false">A57+1</f>
        <v>49</v>
      </c>
      <c r="B58" s="280" t="n">
        <v>38200</v>
      </c>
      <c r="C58" s="30"/>
      <c r="D58" s="34"/>
      <c r="E58" s="283" t="n">
        <f aca="false">IF(TERM_C&gt;=A58,1/TERM_C,0)</f>
        <v>0</v>
      </c>
      <c r="F58" s="282" t="n">
        <f aca="false">E58*$D$5</f>
        <v>0</v>
      </c>
      <c r="G58" s="46" t="n">
        <f aca="false">F58+G57</f>
        <v>12870</v>
      </c>
    </row>
    <row r="59" customFormat="false" ht="12.75" hidden="false" customHeight="false" outlineLevel="0" collapsed="false">
      <c r="A59" s="1" t="n">
        <f aca="false">A58+1</f>
        <v>50</v>
      </c>
      <c r="B59" s="280" t="n">
        <v>38231</v>
      </c>
      <c r="C59" s="30"/>
      <c r="D59" s="34"/>
      <c r="E59" s="283" t="n">
        <f aca="false">IF(TERM_C&gt;=A59,1/TERM_C,0)</f>
        <v>0</v>
      </c>
      <c r="F59" s="282" t="n">
        <f aca="false">E59*$D$5</f>
        <v>0</v>
      </c>
      <c r="G59" s="46" t="n">
        <f aca="false">F59+G58</f>
        <v>12870</v>
      </c>
    </row>
    <row r="60" customFormat="false" ht="12.75" hidden="false" customHeight="false" outlineLevel="0" collapsed="false">
      <c r="A60" s="1" t="n">
        <f aca="false">A59+1</f>
        <v>51</v>
      </c>
      <c r="B60" s="280" t="n">
        <v>38261</v>
      </c>
      <c r="C60" s="30"/>
      <c r="D60" s="34"/>
      <c r="E60" s="283" t="n">
        <f aca="false">IF(TERM_C&gt;=A60,1/TERM_C,0)</f>
        <v>0</v>
      </c>
      <c r="F60" s="282" t="n">
        <f aca="false">E60*$D$5</f>
        <v>0</v>
      </c>
      <c r="G60" s="46" t="n">
        <f aca="false">F60+G59</f>
        <v>12870</v>
      </c>
    </row>
    <row r="61" customFormat="false" ht="12.75" hidden="false" customHeight="false" outlineLevel="0" collapsed="false">
      <c r="A61" s="1" t="n">
        <f aca="false">A60+1</f>
        <v>52</v>
      </c>
      <c r="B61" s="280" t="n">
        <v>38292</v>
      </c>
      <c r="C61" s="30"/>
      <c r="D61" s="34"/>
      <c r="E61" s="283" t="n">
        <f aca="false">IF(TERM_C&gt;=A61,1/TERM_C,0)</f>
        <v>0</v>
      </c>
      <c r="F61" s="282" t="n">
        <f aca="false">E61*$D$5</f>
        <v>0</v>
      </c>
      <c r="G61" s="46" t="n">
        <f aca="false">F61+G60</f>
        <v>12870</v>
      </c>
    </row>
    <row r="62" customFormat="false" ht="12.75" hidden="false" customHeight="false" outlineLevel="0" collapsed="false">
      <c r="A62" s="1" t="n">
        <f aca="false">A61+1</f>
        <v>53</v>
      </c>
      <c r="B62" s="280" t="n">
        <v>38322</v>
      </c>
      <c r="C62" s="30"/>
      <c r="D62" s="34"/>
      <c r="E62" s="283" t="n">
        <f aca="false">IF(TERM_C&gt;=A62,1/TERM_C,0)</f>
        <v>0</v>
      </c>
      <c r="F62" s="282" t="n">
        <f aca="false">E62*$D$5</f>
        <v>0</v>
      </c>
      <c r="G62" s="46" t="n">
        <f aca="false">F62+G61</f>
        <v>12870</v>
      </c>
    </row>
    <row r="63" customFormat="false" ht="12.75" hidden="false" customHeight="false" outlineLevel="0" collapsed="false">
      <c r="A63" s="1" t="n">
        <f aca="false">A62+1</f>
        <v>54</v>
      </c>
      <c r="B63" s="280" t="n">
        <v>38353</v>
      </c>
      <c r="C63" s="30"/>
      <c r="D63" s="34"/>
      <c r="E63" s="283" t="n">
        <f aca="false">IF(TERM_C&gt;=A63,1/TERM_C,0)</f>
        <v>0</v>
      </c>
      <c r="F63" s="282" t="n">
        <f aca="false">E63*$D$5</f>
        <v>0</v>
      </c>
      <c r="G63" s="46" t="n">
        <f aca="false">F63+G62</f>
        <v>12870</v>
      </c>
    </row>
    <row r="64" customFormat="false" ht="12.75" hidden="false" customHeight="false" outlineLevel="0" collapsed="false">
      <c r="A64" s="1" t="n">
        <f aca="false">A63+1</f>
        <v>55</v>
      </c>
      <c r="B64" s="280" t="n">
        <v>38384</v>
      </c>
      <c r="C64" s="30"/>
      <c r="D64" s="34"/>
      <c r="E64" s="283" t="n">
        <f aca="false">IF(TERM_C&gt;=A64,1/TERM_C,0)</f>
        <v>0</v>
      </c>
      <c r="F64" s="282" t="n">
        <f aca="false">E64*$D$5</f>
        <v>0</v>
      </c>
      <c r="G64" s="46" t="n">
        <f aca="false">F64+G63</f>
        <v>12870</v>
      </c>
    </row>
    <row r="65" customFormat="false" ht="12.75" hidden="false" customHeight="false" outlineLevel="0" collapsed="false">
      <c r="A65" s="1" t="n">
        <f aca="false">A64+1</f>
        <v>56</v>
      </c>
      <c r="B65" s="280" t="n">
        <v>38412</v>
      </c>
      <c r="C65" s="30"/>
      <c r="D65" s="34"/>
      <c r="E65" s="283" t="n">
        <f aca="false">IF(TERM_C&gt;=A65,1/TERM_C,0)</f>
        <v>0</v>
      </c>
      <c r="F65" s="282" t="n">
        <f aca="false">E65*$D$5</f>
        <v>0</v>
      </c>
      <c r="G65" s="46" t="n">
        <f aca="false">F65+G64</f>
        <v>12870</v>
      </c>
    </row>
    <row r="66" customFormat="false" ht="12.75" hidden="false" customHeight="false" outlineLevel="0" collapsed="false">
      <c r="A66" s="1" t="n">
        <f aca="false">A65+1</f>
        <v>57</v>
      </c>
      <c r="B66" s="280" t="n">
        <v>38443</v>
      </c>
      <c r="C66" s="30"/>
      <c r="D66" s="34"/>
      <c r="E66" s="283" t="n">
        <f aca="false">IF(TERM_C&gt;=A66,1/TERM_C,0)</f>
        <v>0</v>
      </c>
      <c r="F66" s="282" t="n">
        <f aca="false">E66*$D$5</f>
        <v>0</v>
      </c>
      <c r="G66" s="46" t="n">
        <f aca="false">F66+G65</f>
        <v>12870</v>
      </c>
    </row>
    <row r="67" customFormat="false" ht="12.75" hidden="false" customHeight="false" outlineLevel="0" collapsed="false">
      <c r="A67" s="1" t="n">
        <f aca="false">A66+1</f>
        <v>58</v>
      </c>
      <c r="B67" s="280" t="n">
        <v>38473</v>
      </c>
      <c r="C67" s="30"/>
      <c r="D67" s="34"/>
      <c r="E67" s="283" t="n">
        <f aca="false">IF(TERM_C&gt;=A67,1/TERM_C,0)</f>
        <v>0</v>
      </c>
      <c r="F67" s="282" t="n">
        <f aca="false">E67*$D$5</f>
        <v>0</v>
      </c>
      <c r="G67" s="46" t="n">
        <f aca="false">F67+G66</f>
        <v>12870</v>
      </c>
    </row>
    <row r="68" customFormat="false" ht="12.75" hidden="false" customHeight="false" outlineLevel="0" collapsed="false">
      <c r="A68" s="1" t="n">
        <f aca="false">A67+1</f>
        <v>59</v>
      </c>
      <c r="B68" s="280" t="n">
        <v>38504</v>
      </c>
      <c r="C68" s="30"/>
      <c r="D68" s="34"/>
      <c r="E68" s="283" t="n">
        <f aca="false">IF(TERM_C&gt;=A68,1/TERM_C,0)</f>
        <v>0</v>
      </c>
      <c r="F68" s="282" t="n">
        <f aca="false">E68*$D$5</f>
        <v>0</v>
      </c>
      <c r="G68" s="46" t="n">
        <f aca="false">F68+G67</f>
        <v>12870</v>
      </c>
    </row>
    <row r="69" customFormat="false" ht="12.75" hidden="false" customHeight="false" outlineLevel="0" collapsed="false">
      <c r="A69" s="1" t="n">
        <f aca="false">A68+1</f>
        <v>60</v>
      </c>
      <c r="B69" s="280" t="n">
        <v>38534</v>
      </c>
      <c r="C69" s="30"/>
      <c r="D69" s="34"/>
      <c r="E69" s="283" t="n">
        <f aca="false">IF(TERM_C&gt;=A69,1/TERM_C,0)</f>
        <v>0</v>
      </c>
      <c r="F69" s="282" t="n">
        <f aca="false">E69*$D$5</f>
        <v>0</v>
      </c>
      <c r="G69" s="46" t="n">
        <f aca="false">F69+G68</f>
        <v>12870</v>
      </c>
    </row>
    <row r="70" customFormat="false" ht="13.5" hidden="false" customHeight="false" outlineLevel="0" collapsed="false">
      <c r="B70" s="193"/>
      <c r="C70" s="30"/>
      <c r="D70" s="34"/>
      <c r="E70" s="283" t="s">
        <v>1</v>
      </c>
      <c r="F70" s="30"/>
      <c r="G70" s="34"/>
    </row>
    <row r="71" customFormat="false" ht="14.25" hidden="false" customHeight="false" outlineLevel="0" collapsed="false">
      <c r="B71" s="284" t="s">
        <v>269</v>
      </c>
      <c r="C71" s="285"/>
      <c r="D71" s="286"/>
      <c r="E71" s="287" t="n">
        <f aca="false">SUM(E10:E70)</f>
        <v>0.99</v>
      </c>
      <c r="F71" s="288" t="n">
        <f aca="false">SUM(F10:F70)</f>
        <v>12870</v>
      </c>
      <c r="G71" s="286"/>
    </row>
    <row r="72" customFormat="false" ht="13.5" hidden="false" customHeight="false" outlineLevel="0" collapsed="false"/>
    <row r="74" customFormat="false" ht="12.75" hidden="false" customHeight="false" outlineLevel="0" collapsed="false">
      <c r="A74" s="289" t="n">
        <v>1</v>
      </c>
      <c r="B74" s="289" t="n">
        <f aca="false">A74+1</f>
        <v>2</v>
      </c>
      <c r="C74" s="289" t="n">
        <f aca="false">B74+1</f>
        <v>3</v>
      </c>
      <c r="D74" s="289" t="n">
        <f aca="false">C74+1</f>
        <v>4</v>
      </c>
      <c r="E74" s="289" t="n">
        <f aca="false">D74+1</f>
        <v>5</v>
      </c>
      <c r="F74" s="289" t="n">
        <f aca="false">E74+1</f>
        <v>6</v>
      </c>
      <c r="G74" s="289" t="n">
        <f aca="false">F74+1</f>
        <v>7</v>
      </c>
    </row>
  </sheetData>
  <mergeCells count="1">
    <mergeCell ref="E6:G6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6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E28" activeCellId="0" sqref="E2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6.7"/>
    <col collapsed="false" customWidth="true" hidden="false" outlineLevel="0" max="2" min="2" style="1" width="10.71"/>
    <col collapsed="false" customWidth="true" hidden="false" outlineLevel="0" max="3" min="3" style="1" width="3.7"/>
    <col collapsed="false" customWidth="false" hidden="false" outlineLevel="0" max="257" min="4" style="1" width="9.14"/>
  </cols>
  <sheetData>
    <row r="1" customFormat="false" ht="15.75" hidden="false" customHeight="false" outlineLevel="0" collapsed="false">
      <c r="A1" s="290" t="s">
        <v>270</v>
      </c>
      <c r="B1" s="291"/>
      <c r="C1" s="292"/>
      <c r="D1" s="6"/>
    </row>
    <row r="2" customFormat="false" ht="15.75" hidden="false" customHeight="false" outlineLevel="0" collapsed="false">
      <c r="A2" s="293" t="n">
        <f aca="false">ASS!A4</f>
        <v>0</v>
      </c>
      <c r="B2" s="294"/>
      <c r="C2" s="295"/>
      <c r="D2" s="6"/>
    </row>
    <row r="3" customFormat="false" ht="15.75" hidden="false" customHeight="false" outlineLevel="0" collapsed="false">
      <c r="A3" s="296" t="str">
        <f aca="false">ASS!A5</f>
        <v>BASE MODEL</v>
      </c>
      <c r="B3" s="297"/>
      <c r="C3" s="298"/>
      <c r="D3" s="6"/>
    </row>
    <row r="6" customFormat="false" ht="12.75" hidden="false" customHeight="false" outlineLevel="0" collapsed="false">
      <c r="A6" s="18" t="s">
        <v>271</v>
      </c>
      <c r="B6" s="15"/>
      <c r="C6" s="15"/>
      <c r="D6" s="15"/>
      <c r="E6" s="299" t="n">
        <f aca="false">1</f>
        <v>1</v>
      </c>
      <c r="F6" s="299" t="n">
        <f aca="false">E6+1</f>
        <v>2</v>
      </c>
      <c r="G6" s="299" t="n">
        <f aca="false">F6+1</f>
        <v>3</v>
      </c>
      <c r="H6" s="299" t="n">
        <f aca="false">G6+1</f>
        <v>4</v>
      </c>
      <c r="I6" s="299" t="n">
        <f aca="false">H6+1</f>
        <v>5</v>
      </c>
      <c r="J6" s="299" t="n">
        <f aca="false">I6+1</f>
        <v>6</v>
      </c>
      <c r="K6" s="187"/>
    </row>
    <row r="7" customFormat="false" ht="12.75" hidden="false" customHeight="false" outlineLevel="0" collapsed="false">
      <c r="A7" s="165" t="s">
        <v>272</v>
      </c>
      <c r="B7" s="300"/>
      <c r="C7" s="300"/>
      <c r="D7" s="300"/>
      <c r="E7" s="301" t="s">
        <v>273</v>
      </c>
      <c r="F7" s="301" t="s">
        <v>274</v>
      </c>
      <c r="G7" s="301" t="s">
        <v>275</v>
      </c>
      <c r="H7" s="301" t="s">
        <v>276</v>
      </c>
      <c r="I7" s="301" t="s">
        <v>277</v>
      </c>
      <c r="J7" s="301" t="s">
        <v>278</v>
      </c>
      <c r="K7" s="231" t="s">
        <v>269</v>
      </c>
      <c r="L7" s="279" t="n">
        <v>1</v>
      </c>
    </row>
    <row r="8" customFormat="false" ht="12.75" hidden="false" customHeight="false" outlineLevel="0" collapsed="false">
      <c r="L8" s="1" t="n">
        <f aca="false">L7+1</f>
        <v>2</v>
      </c>
    </row>
    <row r="9" customFormat="false" ht="12.75" hidden="false" customHeight="false" outlineLevel="0" collapsed="false">
      <c r="L9" s="1" t="n">
        <f aca="false">L8+1</f>
        <v>3</v>
      </c>
    </row>
    <row r="10" customFormat="false" ht="12.75" hidden="false" customHeight="false" outlineLevel="0" collapsed="false">
      <c r="A10" s="13"/>
      <c r="B10" s="78" t="s">
        <v>279</v>
      </c>
      <c r="C10" s="78"/>
      <c r="D10" s="79" t="s">
        <v>280</v>
      </c>
      <c r="E10" s="15"/>
      <c r="F10" s="15"/>
      <c r="G10" s="15"/>
      <c r="H10" s="15"/>
      <c r="I10" s="15"/>
      <c r="J10" s="15"/>
      <c r="K10" s="187"/>
      <c r="L10" s="1" t="n">
        <f aca="false">L9+1</f>
        <v>4</v>
      </c>
    </row>
    <row r="11" customFormat="false" ht="12.75" hidden="false" customHeight="false" outlineLevel="0" collapsed="false">
      <c r="A11" s="35" t="s">
        <v>281</v>
      </c>
      <c r="B11" s="198" t="n">
        <f aca="false">Line_Cost</f>
        <v>13000</v>
      </c>
      <c r="C11" s="198"/>
      <c r="D11" s="198" t="n">
        <f aca="false">Line_Cost</f>
        <v>13000</v>
      </c>
      <c r="E11" s="30"/>
      <c r="F11" s="30"/>
      <c r="G11" s="30"/>
      <c r="H11" s="30"/>
      <c r="I11" s="30"/>
      <c r="J11" s="30"/>
      <c r="K11" s="193"/>
      <c r="L11" s="1" t="n">
        <f aca="false">L10+1</f>
        <v>5</v>
      </c>
    </row>
    <row r="12" customFormat="false" ht="12.75" hidden="false" customHeight="false" outlineLevel="0" collapsed="false">
      <c r="A12" s="35" t="s">
        <v>282</v>
      </c>
      <c r="B12" s="96"/>
      <c r="C12" s="96"/>
      <c r="D12" s="302" t="n">
        <f aca="false">DISC</f>
        <v>0.1</v>
      </c>
      <c r="E12" s="30"/>
      <c r="F12" s="30"/>
      <c r="G12" s="30"/>
      <c r="H12" s="30"/>
      <c r="I12" s="30"/>
      <c r="J12" s="30"/>
      <c r="K12" s="193"/>
      <c r="L12" s="1" t="n">
        <f aca="false">L11+1</f>
        <v>6</v>
      </c>
    </row>
    <row r="13" customFormat="false" ht="12.75" hidden="false" customHeight="false" outlineLevel="0" collapsed="false">
      <c r="A13" s="165" t="s">
        <v>283</v>
      </c>
      <c r="B13" s="303" t="n">
        <f aca="false">ASS!W79</f>
        <v>0</v>
      </c>
      <c r="C13" s="303"/>
      <c r="D13" s="303"/>
      <c r="E13" s="30"/>
      <c r="F13" s="30"/>
      <c r="G13" s="30"/>
      <c r="H13" s="30"/>
      <c r="I13" s="30"/>
      <c r="J13" s="30"/>
      <c r="K13" s="193"/>
      <c r="L13" s="1" t="n">
        <f aca="false">L12+1</f>
        <v>7</v>
      </c>
    </row>
    <row r="14" customFormat="false" ht="12.75" hidden="false" customHeight="false" outlineLevel="0" collapsed="false">
      <c r="A14" s="29" t="s">
        <v>1</v>
      </c>
      <c r="B14" s="30"/>
      <c r="C14" s="30"/>
      <c r="D14" s="30"/>
      <c r="E14" s="30"/>
      <c r="F14" s="30"/>
      <c r="G14" s="30"/>
      <c r="H14" s="30"/>
      <c r="I14" s="30"/>
      <c r="J14" s="30"/>
      <c r="K14" s="193"/>
      <c r="L14" s="1" t="n">
        <f aca="false">L13+1</f>
        <v>8</v>
      </c>
    </row>
    <row r="15" customFormat="false" ht="12.75" hidden="false" customHeight="false" outlineLevel="0" collapsed="false">
      <c r="A15" s="29"/>
      <c r="B15" s="30"/>
      <c r="C15" s="30"/>
      <c r="D15" s="30"/>
      <c r="E15" s="30"/>
      <c r="F15" s="30"/>
      <c r="G15" s="30"/>
      <c r="H15" s="30"/>
      <c r="I15" s="30"/>
      <c r="J15" s="30"/>
      <c r="K15" s="193"/>
      <c r="L15" s="1" t="n">
        <f aca="false">L14+1</f>
        <v>9</v>
      </c>
    </row>
    <row r="16" customFormat="false" ht="12.75" hidden="false" customHeight="false" outlineLevel="0" collapsed="false">
      <c r="A16" s="157" t="s">
        <v>284</v>
      </c>
      <c r="B16" s="30"/>
      <c r="C16" s="30"/>
      <c r="D16" s="30"/>
      <c r="E16" s="30"/>
      <c r="F16" s="30"/>
      <c r="G16" s="30"/>
      <c r="H16" s="30"/>
      <c r="I16" s="30"/>
      <c r="J16" s="30"/>
      <c r="K16" s="193"/>
      <c r="L16" s="1" t="n">
        <f aca="false">L15+1</f>
        <v>10</v>
      </c>
    </row>
    <row r="17" customFormat="false" ht="12.75" hidden="false" customHeight="false" outlineLevel="0" collapsed="false">
      <c r="A17" s="29" t="s">
        <v>285</v>
      </c>
      <c r="B17" s="30"/>
      <c r="C17" s="30"/>
      <c r="D17" s="30"/>
      <c r="E17" s="304" t="n">
        <v>0</v>
      </c>
      <c r="F17" s="196" t="n">
        <f aca="false">E19</f>
        <v>390</v>
      </c>
      <c r="G17" s="196" t="n">
        <f aca="false">F19</f>
        <v>2990</v>
      </c>
      <c r="H17" s="196" t="n">
        <f aca="false">G19</f>
        <v>2990</v>
      </c>
      <c r="I17" s="196" t="n">
        <f aca="false">H19</f>
        <v>3770</v>
      </c>
      <c r="J17" s="196" t="n">
        <f aca="false">I19</f>
        <v>12870</v>
      </c>
      <c r="K17" s="193"/>
      <c r="L17" s="1" t="n">
        <f aca="false">L16+1</f>
        <v>11</v>
      </c>
    </row>
    <row r="18" customFormat="false" ht="12.75" hidden="false" customHeight="false" outlineLevel="0" collapsed="false">
      <c r="A18" s="29" t="s">
        <v>286</v>
      </c>
      <c r="B18" s="30"/>
      <c r="C18" s="30"/>
      <c r="D18" s="30"/>
      <c r="E18" s="196" t="n">
        <f aca="false">VLOOKUP(E6,DRAW_TABLE,DRAWDOWN!$F$74)</f>
        <v>390</v>
      </c>
      <c r="F18" s="196" t="n">
        <f aca="false">VLOOKUP(F6,DRAW_TABLE,DRAWDOWN!$F$74)</f>
        <v>2600</v>
      </c>
      <c r="G18" s="196" t="n">
        <f aca="false">VLOOKUP(G6,DRAW_TABLE,DRAWDOWN!$F$74)</f>
        <v>0</v>
      </c>
      <c r="H18" s="196" t="n">
        <f aca="false">VLOOKUP(H6,DRAW_TABLE,DRAWDOWN!$F$74)</f>
        <v>780</v>
      </c>
      <c r="I18" s="196" t="n">
        <f aca="false">VLOOKUP(I6,DRAW_TABLE,DRAWDOWN!$F$74)</f>
        <v>9100</v>
      </c>
      <c r="J18" s="196" t="n">
        <f aca="false">VLOOKUP(J6,DRAW_TABLE,DRAWDOWN!$F$74)</f>
        <v>0</v>
      </c>
      <c r="K18" s="197" t="n">
        <f aca="false">SUM(E18:J18)</f>
        <v>12870</v>
      </c>
      <c r="L18" s="1" t="n">
        <f aca="false">L17+1</f>
        <v>12</v>
      </c>
    </row>
    <row r="19" customFormat="false" ht="12.75" hidden="false" customHeight="false" outlineLevel="0" collapsed="false">
      <c r="A19" s="29" t="s">
        <v>287</v>
      </c>
      <c r="B19" s="30"/>
      <c r="C19" s="30"/>
      <c r="D19" s="30"/>
      <c r="E19" s="196" t="n">
        <f aca="false">SUM(E17:E18)</f>
        <v>390</v>
      </c>
      <c r="F19" s="196" t="n">
        <f aca="false">SUM(F17:F18)</f>
        <v>2990</v>
      </c>
      <c r="G19" s="196" t="n">
        <f aca="false">SUM(G17:G18)</f>
        <v>2990</v>
      </c>
      <c r="H19" s="196" t="n">
        <f aca="false">SUM(H17:H18)</f>
        <v>3770</v>
      </c>
      <c r="I19" s="196" t="n">
        <f aca="false">SUM(I17:I18)</f>
        <v>12870</v>
      </c>
      <c r="J19" s="196" t="n">
        <f aca="false">SUM(J17:J18)</f>
        <v>12870</v>
      </c>
      <c r="K19" s="193"/>
      <c r="L19" s="1" t="n">
        <f aca="false">L18+1</f>
        <v>13</v>
      </c>
    </row>
    <row r="20" customFormat="false" ht="12.75" hidden="false" customHeight="false" outlineLevel="0" collapsed="false">
      <c r="A20" s="29" t="s">
        <v>288</v>
      </c>
      <c r="B20" s="30"/>
      <c r="C20" s="30"/>
      <c r="D20" s="30"/>
      <c r="E20" s="305" t="n">
        <f aca="false">SUM($E$18:E18)/$B$11</f>
        <v>0.03</v>
      </c>
      <c r="F20" s="305" t="n">
        <f aca="false">SUM($E$18:F18)/$B$11</f>
        <v>0.23</v>
      </c>
      <c r="G20" s="305" t="n">
        <f aca="false">SUM($E$18:G18)/$B$11</f>
        <v>0.23</v>
      </c>
      <c r="H20" s="305" t="n">
        <f aca="false">SUM($E$18:H18)/$B$11</f>
        <v>0.29</v>
      </c>
      <c r="I20" s="305" t="n">
        <f aca="false">SUM($E$18:I18)/$B$11</f>
        <v>0.99</v>
      </c>
      <c r="J20" s="305" t="n">
        <f aca="false">SUM($E$18:J18)/$B$11</f>
        <v>0.99</v>
      </c>
      <c r="K20" s="193"/>
      <c r="L20" s="1" t="n">
        <f aca="false">L19+1</f>
        <v>14</v>
      </c>
    </row>
    <row r="21" customFormat="false" ht="12.75" hidden="false" customHeight="false" outlineLevel="0" collapsed="false">
      <c r="A21" s="29" t="s">
        <v>289</v>
      </c>
      <c r="B21" s="30"/>
      <c r="C21" s="30"/>
      <c r="D21" s="30"/>
      <c r="E21" s="305" t="n">
        <f aca="false">E19/$D$11</f>
        <v>0.03</v>
      </c>
      <c r="F21" s="305" t="n">
        <f aca="false">F19/$D$11</f>
        <v>0.23</v>
      </c>
      <c r="G21" s="305" t="n">
        <f aca="false">G19/$D$11</f>
        <v>0.23</v>
      </c>
      <c r="H21" s="305" t="n">
        <f aca="false">H19/$D$11</f>
        <v>0.29</v>
      </c>
      <c r="I21" s="305" t="n">
        <f aca="false">I19/$D$11</f>
        <v>0.99</v>
      </c>
      <c r="J21" s="305" t="n">
        <f aca="false">J19/$D$11</f>
        <v>0.99</v>
      </c>
      <c r="K21" s="193"/>
      <c r="L21" s="1" t="n">
        <f aca="false">L20+1</f>
        <v>15</v>
      </c>
    </row>
    <row r="22" customFormat="false" ht="12.75" hidden="false" customHeight="false" outlineLevel="0" collapsed="false">
      <c r="A22" s="29"/>
      <c r="B22" s="30"/>
      <c r="C22" s="30"/>
      <c r="D22" s="30"/>
      <c r="E22" s="30"/>
      <c r="F22" s="30"/>
      <c r="G22" s="30"/>
      <c r="H22" s="30"/>
      <c r="I22" s="30"/>
      <c r="J22" s="30"/>
      <c r="K22" s="193"/>
      <c r="L22" s="1" t="n">
        <f aca="false">L21+1</f>
        <v>16</v>
      </c>
    </row>
    <row r="23" customFormat="false" ht="12.75" hidden="false" customHeight="false" outlineLevel="0" collapsed="false">
      <c r="A23" s="157" t="s">
        <v>290</v>
      </c>
      <c r="B23" s="30"/>
      <c r="C23" s="30"/>
      <c r="D23" s="30"/>
      <c r="E23" s="30"/>
      <c r="F23" s="30"/>
      <c r="G23" s="30"/>
      <c r="H23" s="30"/>
      <c r="I23" s="30"/>
      <c r="J23" s="30"/>
      <c r="K23" s="193"/>
      <c r="L23" s="1" t="n">
        <f aca="false">L22+1</f>
        <v>17</v>
      </c>
    </row>
    <row r="24" customFormat="false" ht="12.75" hidden="false" customHeight="false" outlineLevel="0" collapsed="false">
      <c r="A24" s="29" t="s">
        <v>291</v>
      </c>
      <c r="B24" s="30"/>
      <c r="C24" s="30"/>
      <c r="D24" s="30"/>
      <c r="E24" s="196" t="n">
        <f aca="false">E17*DEBTPERC</f>
        <v>0</v>
      </c>
      <c r="F24" s="196" t="n">
        <f aca="false">F17*DEBTPERC</f>
        <v>0</v>
      </c>
      <c r="G24" s="196" t="n">
        <f aca="false">G17*DEBTPERC</f>
        <v>0</v>
      </c>
      <c r="H24" s="196" t="n">
        <f aca="false">H17*DEBTPERC</f>
        <v>0</v>
      </c>
      <c r="I24" s="196" t="n">
        <f aca="false">I17*DEBTPERC</f>
        <v>0</v>
      </c>
      <c r="J24" s="196" t="n">
        <f aca="false">J17*DEBTPERC</f>
        <v>0</v>
      </c>
      <c r="K24" s="193"/>
      <c r="L24" s="1" t="n">
        <f aca="false">L23+1</f>
        <v>18</v>
      </c>
    </row>
    <row r="25" customFormat="false" ht="12.75" hidden="false" customHeight="false" outlineLevel="0" collapsed="false">
      <c r="A25" s="29" t="s">
        <v>292</v>
      </c>
      <c r="B25" s="30"/>
      <c r="C25" s="30"/>
      <c r="D25" s="30"/>
      <c r="E25" s="196" t="n">
        <f aca="false">E18*DEBTPERC</f>
        <v>0</v>
      </c>
      <c r="F25" s="196" t="n">
        <f aca="false">F18*DEBTPERC</f>
        <v>0</v>
      </c>
      <c r="G25" s="196" t="n">
        <f aca="false">G18*DEBTPERC</f>
        <v>0</v>
      </c>
      <c r="H25" s="196" t="n">
        <f aca="false">H18*DEBTPERC</f>
        <v>0</v>
      </c>
      <c r="I25" s="196" t="n">
        <f aca="false">I18*DEBTPERC</f>
        <v>0</v>
      </c>
      <c r="J25" s="196" t="n">
        <f aca="false">J18*DEBTPERC</f>
        <v>0</v>
      </c>
      <c r="K25" s="197" t="n">
        <f aca="false">SUM(E25:J25)</f>
        <v>0</v>
      </c>
      <c r="L25" s="1" t="n">
        <f aca="false">L24+1</f>
        <v>19</v>
      </c>
    </row>
    <row r="26" customFormat="false" ht="12.75" hidden="false" customHeight="false" outlineLevel="0" collapsed="false">
      <c r="A26" s="29" t="s">
        <v>293</v>
      </c>
      <c r="B26" s="30"/>
      <c r="C26" s="30"/>
      <c r="D26" s="30"/>
      <c r="E26" s="196" t="n">
        <f aca="false">SUM(E24:E25)</f>
        <v>0</v>
      </c>
      <c r="F26" s="196" t="n">
        <f aca="false">SUM(F24:F25)</f>
        <v>0</v>
      </c>
      <c r="G26" s="196" t="n">
        <f aca="false">SUM(G24:G25)</f>
        <v>0</v>
      </c>
      <c r="H26" s="196" t="n">
        <f aca="false">SUM(H24:H25)</f>
        <v>0</v>
      </c>
      <c r="I26" s="196" t="n">
        <f aca="false">SUM(I24:I25)</f>
        <v>0</v>
      </c>
      <c r="J26" s="196" t="n">
        <f aca="false">SUM(J24:J25)</f>
        <v>0</v>
      </c>
      <c r="K26" s="193"/>
      <c r="L26" s="1" t="n">
        <f aca="false">L25+1</f>
        <v>20</v>
      </c>
    </row>
    <row r="27" customFormat="false" ht="12.75" hidden="false" customHeight="false" outlineLevel="0" collapsed="false">
      <c r="A27" s="29"/>
      <c r="B27" s="30"/>
      <c r="C27" s="30"/>
      <c r="D27" s="30"/>
      <c r="E27" s="196"/>
      <c r="F27" s="196"/>
      <c r="G27" s="196"/>
      <c r="H27" s="196"/>
      <c r="I27" s="196"/>
      <c r="J27" s="196"/>
      <c r="K27" s="193"/>
      <c r="L27" s="1" t="n">
        <f aca="false">L26+1</f>
        <v>21</v>
      </c>
    </row>
    <row r="28" customFormat="false" ht="12.75" hidden="false" customHeight="false" outlineLevel="0" collapsed="false">
      <c r="A28" s="29" t="s">
        <v>294</v>
      </c>
      <c r="B28" s="30"/>
      <c r="C28" s="30"/>
      <c r="D28" s="30"/>
      <c r="E28" s="196" t="n">
        <f aca="false">IF(E6&gt;TERM_C,0,(E17+SUM(E17:E18))/2*$D$12/12)</f>
        <v>1.625</v>
      </c>
      <c r="F28" s="196" t="n">
        <f aca="false">IF(F6&gt;TERM_C,0,(F17+SUM(F17:F18))/2*$D$12/12)</f>
        <v>14.0833333333333</v>
      </c>
      <c r="G28" s="196" t="n">
        <f aca="false">IF(G6&gt;TERM_C,0,(G17+SUM(G17:G18))/2*$D$12/12)</f>
        <v>24.9166666666667</v>
      </c>
      <c r="H28" s="196" t="n">
        <f aca="false">IF(H6&gt;TERM_C,0,(H17+SUM(H17:H18))/2*$D$12/12)</f>
        <v>28.1666666666667</v>
      </c>
      <c r="I28" s="196" t="n">
        <f aca="false">IF(I6&gt;TERM_C,0,(I17+SUM(I17:I18))/2*$D$12/12)</f>
        <v>69.3333333333333</v>
      </c>
      <c r="J28" s="196" t="n">
        <f aca="false">IF(J6&gt;TERM_C,0,(J17+SUM(J17:J18))/2*$D$12/12)</f>
        <v>107.25</v>
      </c>
      <c r="K28" s="197" t="n">
        <f aca="false">SUM(E28:J28)</f>
        <v>245.375</v>
      </c>
      <c r="L28" s="1" t="n">
        <f aca="false">L27+1</f>
        <v>22</v>
      </c>
    </row>
    <row r="29" customFormat="false" ht="12.75" hidden="false" customHeight="false" outlineLevel="0" collapsed="false">
      <c r="A29" s="29"/>
      <c r="B29" s="30"/>
      <c r="C29" s="30"/>
      <c r="D29" s="30"/>
      <c r="E29" s="196"/>
      <c r="F29" s="196"/>
      <c r="G29" s="196"/>
      <c r="H29" s="196"/>
      <c r="I29" s="196"/>
      <c r="J29" s="196"/>
      <c r="K29" s="193"/>
      <c r="L29" s="1" t="n">
        <f aca="false">L28+1</f>
        <v>23</v>
      </c>
    </row>
    <row r="30" customFormat="false" ht="12.75" hidden="false" customHeight="false" outlineLevel="0" collapsed="false">
      <c r="A30" s="157" t="s">
        <v>295</v>
      </c>
      <c r="B30" s="30"/>
      <c r="C30" s="30"/>
      <c r="D30" s="30"/>
      <c r="E30" s="196"/>
      <c r="F30" s="196"/>
      <c r="G30" s="196"/>
      <c r="H30" s="196"/>
      <c r="I30" s="196"/>
      <c r="J30" s="196"/>
      <c r="K30" s="193"/>
      <c r="L30" s="1" t="n">
        <f aca="false">L29+1</f>
        <v>24</v>
      </c>
    </row>
    <row r="31" customFormat="false" ht="12.75" hidden="false" customHeight="false" outlineLevel="0" collapsed="false">
      <c r="A31" s="29" t="s">
        <v>296</v>
      </c>
      <c r="B31" s="30"/>
      <c r="C31" s="30"/>
      <c r="D31" s="30"/>
      <c r="E31" s="196" t="n">
        <f aca="false">E17-E24</f>
        <v>0</v>
      </c>
      <c r="F31" s="196" t="n">
        <f aca="false">F17-F24</f>
        <v>390</v>
      </c>
      <c r="G31" s="196" t="n">
        <f aca="false">G17-G24</f>
        <v>2990</v>
      </c>
      <c r="H31" s="196" t="n">
        <f aca="false">H17-H24</f>
        <v>2990</v>
      </c>
      <c r="I31" s="196" t="n">
        <f aca="false">I17-I24</f>
        <v>3770</v>
      </c>
      <c r="J31" s="196" t="n">
        <f aca="false">J17-J24</f>
        <v>12870</v>
      </c>
      <c r="K31" s="193"/>
      <c r="L31" s="1" t="n">
        <f aca="false">L30+1</f>
        <v>25</v>
      </c>
    </row>
    <row r="32" customFormat="false" ht="12.75" hidden="false" customHeight="false" outlineLevel="0" collapsed="false">
      <c r="A32" s="29" t="s">
        <v>297</v>
      </c>
      <c r="B32" s="30"/>
      <c r="C32" s="30"/>
      <c r="D32" s="30"/>
      <c r="E32" s="196" t="n">
        <f aca="false">E18-E25</f>
        <v>390</v>
      </c>
      <c r="F32" s="196" t="n">
        <f aca="false">F18-F25</f>
        <v>2600</v>
      </c>
      <c r="G32" s="196" t="n">
        <f aca="false">G18-G25</f>
        <v>0</v>
      </c>
      <c r="H32" s="196" t="n">
        <f aca="false">H18-H25</f>
        <v>780</v>
      </c>
      <c r="I32" s="196" t="n">
        <f aca="false">I18-I25</f>
        <v>9100</v>
      </c>
      <c r="J32" s="196" t="n">
        <f aca="false">J18-J25</f>
        <v>0</v>
      </c>
      <c r="K32" s="197" t="n">
        <f aca="false">SUM(E32:J32)</f>
        <v>12870</v>
      </c>
      <c r="L32" s="1" t="n">
        <f aca="false">L31+1</f>
        <v>26</v>
      </c>
    </row>
    <row r="33" customFormat="false" ht="12.75" hidden="false" customHeight="false" outlineLevel="0" collapsed="false">
      <c r="A33" s="57" t="s">
        <v>298</v>
      </c>
      <c r="B33" s="58"/>
      <c r="C33" s="58"/>
      <c r="D33" s="58"/>
      <c r="E33" s="257" t="n">
        <f aca="false">E19-E26</f>
        <v>390</v>
      </c>
      <c r="F33" s="257" t="n">
        <f aca="false">F19-F26</f>
        <v>2990</v>
      </c>
      <c r="G33" s="257" t="n">
        <f aca="false">G19-G26</f>
        <v>2990</v>
      </c>
      <c r="H33" s="257" t="n">
        <f aca="false">H19-H26</f>
        <v>3770</v>
      </c>
      <c r="I33" s="257" t="n">
        <f aca="false">I19-I26</f>
        <v>12870</v>
      </c>
      <c r="J33" s="257" t="n">
        <f aca="false">J19-J26</f>
        <v>12870</v>
      </c>
      <c r="K33" s="191"/>
      <c r="L33" s="1" t="n">
        <f aca="false">L32+1</f>
        <v>27</v>
      </c>
    </row>
    <row r="35" customFormat="false" ht="13.5" hidden="false" customHeight="false" outlineLevel="0" collapsed="false">
      <c r="A35" s="306" t="s">
        <v>299</v>
      </c>
      <c r="B35" s="307"/>
      <c r="C35" s="307"/>
      <c r="D35" s="308" t="n">
        <f aca="false">K28</f>
        <v>245.375</v>
      </c>
    </row>
    <row r="36" customFormat="false" ht="13.5" hidden="false" customHeight="false" outlineLevel="0" collapsed="false"/>
  </sheetData>
  <mergeCells count="1">
    <mergeCell ref="B13:D13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64"/>
  <sheetViews>
    <sheetView showFormulas="false" showGridLines="true" showRowColHeaders="true" showZeros="true" rightToLeft="false" tabSelected="false" showOutlineSymbols="true" defaultGridColor="true" view="normal" topLeftCell="A34" colorId="64" zoomScale="100" zoomScaleNormal="100" zoomScalePageLayoutView="100" workbookViewId="0">
      <selection pane="topLeft" activeCell="J4" activeCellId="0" sqref="J4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6.28"/>
    <col collapsed="false" customWidth="true" hidden="false" outlineLevel="0" max="26" min="3" style="1" width="9.7"/>
    <col collapsed="false" customWidth="false" hidden="false" outlineLevel="0" max="257" min="27" style="1" width="9.14"/>
  </cols>
  <sheetData>
    <row r="1" customFormat="false" ht="15.75" hidden="false" customHeight="false" outlineLevel="0" collapsed="false">
      <c r="A1" s="2" t="s">
        <v>300</v>
      </c>
      <c r="B1" s="265"/>
      <c r="C1" s="265"/>
      <c r="D1" s="265"/>
      <c r="E1" s="226"/>
    </row>
    <row r="2" customFormat="false" ht="15.75" hidden="false" customHeight="false" outlineLevel="0" collapsed="false">
      <c r="A2" s="185" t="n">
        <f aca="false">ASS!A4</f>
        <v>0</v>
      </c>
      <c r="B2" s="70"/>
      <c r="C2" s="70"/>
      <c r="D2" s="70"/>
      <c r="E2" s="227"/>
      <c r="G2" s="225"/>
      <c r="H2" s="225"/>
    </row>
    <row r="3" customFormat="false" ht="15.75" hidden="false" customHeight="false" outlineLevel="0" collapsed="false">
      <c r="A3" s="186" t="str">
        <f aca="false">ASS!A5</f>
        <v>BASE MODEL</v>
      </c>
      <c r="B3" s="266"/>
      <c r="C3" s="266"/>
      <c r="D3" s="266"/>
      <c r="E3" s="228"/>
    </row>
    <row r="4" customFormat="false" ht="12.75" hidden="false" customHeight="false" outlineLevel="0" collapsed="false">
      <c r="A4" s="0"/>
      <c r="B4" s="0"/>
      <c r="C4" s="0"/>
      <c r="D4" s="309" t="n">
        <f aca="false">B24</f>
        <v>1</v>
      </c>
      <c r="E4" s="309" t="n">
        <f aca="false">D4+2</f>
        <v>3</v>
      </c>
      <c r="F4" s="309" t="n">
        <f aca="false">E4+2</f>
        <v>5</v>
      </c>
      <c r="G4" s="309" t="n">
        <f aca="false">F4+2</f>
        <v>7</v>
      </c>
      <c r="H4" s="309" t="n">
        <f aca="false">G4+2</f>
        <v>9</v>
      </c>
      <c r="I4" s="309" t="n">
        <f aca="false">H4+2</f>
        <v>11</v>
      </c>
      <c r="J4" s="309" t="n">
        <f aca="false">I4+2</f>
        <v>13</v>
      </c>
      <c r="K4" s="309" t="n">
        <f aca="false">J4+2</f>
        <v>15</v>
      </c>
      <c r="L4" s="309" t="n">
        <f aca="false">K4+2</f>
        <v>17</v>
      </c>
      <c r="M4" s="309" t="n">
        <f aca="false">L4+2</f>
        <v>19</v>
      </c>
      <c r="N4" s="309" t="n">
        <f aca="false">M4+2</f>
        <v>21</v>
      </c>
      <c r="O4" s="309" t="n">
        <f aca="false">N4+2</f>
        <v>23</v>
      </c>
      <c r="P4" s="309" t="n">
        <f aca="false">O4+2</f>
        <v>25</v>
      </c>
      <c r="Q4" s="309" t="n">
        <f aca="false">P4+2</f>
        <v>27</v>
      </c>
      <c r="R4" s="309" t="n">
        <f aca="false">Q4+2</f>
        <v>29</v>
      </c>
      <c r="S4" s="309" t="n">
        <f aca="false">R4+2</f>
        <v>31</v>
      </c>
      <c r="T4" s="309" t="n">
        <f aca="false">S4+2</f>
        <v>33</v>
      </c>
      <c r="U4" s="309" t="n">
        <f aca="false">T4+2</f>
        <v>35</v>
      </c>
      <c r="V4" s="309" t="n">
        <f aca="false">U4+2</f>
        <v>37</v>
      </c>
      <c r="W4" s="309" t="n">
        <f aca="false">V4+2</f>
        <v>39</v>
      </c>
      <c r="X4" s="309" t="n">
        <f aca="false">W4+2</f>
        <v>41</v>
      </c>
      <c r="Y4" s="309" t="n">
        <f aca="false">X4+2</f>
        <v>43</v>
      </c>
      <c r="Z4" s="309" t="n">
        <f aca="false">Y4+2</f>
        <v>45</v>
      </c>
      <c r="AA4" s="309" t="n">
        <f aca="false">Z4+2</f>
        <v>47</v>
      </c>
      <c r="AB4" s="309" t="n">
        <f aca="false">AA4+2</f>
        <v>49</v>
      </c>
      <c r="AC4" s="309" t="n">
        <f aca="false">AB4+2</f>
        <v>51</v>
      </c>
    </row>
    <row r="5" customFormat="false" ht="12.75" hidden="false" customHeight="false" outlineLevel="0" collapsed="false">
      <c r="A5" s="18" t="s">
        <v>194</v>
      </c>
      <c r="B5" s="15"/>
      <c r="C5" s="15"/>
      <c r="D5" s="15" t="n">
        <f aca="false">CF!D5</f>
        <v>1</v>
      </c>
      <c r="E5" s="15" t="n">
        <f aca="false">CF!E5</f>
        <v>2</v>
      </c>
      <c r="F5" s="15" t="n">
        <f aca="false">CF!F5</f>
        <v>3</v>
      </c>
      <c r="G5" s="187"/>
    </row>
    <row r="6" customFormat="false" ht="12.75" hidden="false" customHeight="false" outlineLevel="0" collapsed="false">
      <c r="A6" s="188" t="s">
        <v>195</v>
      </c>
      <c r="B6" s="30"/>
      <c r="C6" s="30"/>
      <c r="D6" s="189" t="n">
        <f aca="false">CF!D6</f>
        <v>2001</v>
      </c>
      <c r="E6" s="189" t="n">
        <f aca="false">CF!E6</f>
        <v>2002</v>
      </c>
      <c r="F6" s="189" t="n">
        <f aca="false">CF!F6</f>
        <v>2003</v>
      </c>
      <c r="G6" s="190" t="s">
        <v>301</v>
      </c>
    </row>
    <row r="7" customFormat="false" ht="12.75" hidden="false" customHeight="false" outlineLevel="0" collapsed="false">
      <c r="A7" s="57" t="s">
        <v>197</v>
      </c>
      <c r="B7" s="58"/>
      <c r="C7" s="58"/>
      <c r="D7" s="58" t="n">
        <f aca="false">CF!D7</f>
        <v>12</v>
      </c>
      <c r="E7" s="58" t="n">
        <f aca="false">CF!E7</f>
        <v>12</v>
      </c>
      <c r="F7" s="58" t="n">
        <f aca="false">CF!F7</f>
        <v>12</v>
      </c>
      <c r="G7" s="191"/>
    </row>
    <row r="8" customFormat="false" ht="12.75" hidden="false" customHeight="false" outlineLevel="0" collapsed="false">
      <c r="AD8" s="30"/>
    </row>
    <row r="9" customFormat="false" ht="12.75" hidden="false" customHeight="false" outlineLevel="0" collapsed="false">
      <c r="A9" s="310" t="s">
        <v>302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87"/>
    </row>
    <row r="10" customFormat="false" ht="12.75" hidden="false" customHeight="false" outlineLevel="0" collapsed="false">
      <c r="A10" s="311" t="s">
        <v>303</v>
      </c>
      <c r="B10" s="30"/>
      <c r="C10" s="30"/>
      <c r="D10" s="196" t="n">
        <f aca="false">VLOOKUP(D4,FIN_TABLE,26)</f>
        <v>0</v>
      </c>
      <c r="E10" s="196" t="n">
        <f aca="false">VLOOKUP(E4,FIN_TABLE,26)</f>
        <v>0</v>
      </c>
      <c r="F10" s="196" t="n">
        <f aca="false">VLOOKUP(F4,FIN_TABLE,26)</f>
        <v>0</v>
      </c>
      <c r="G10" s="196" t="n">
        <f aca="false">VLOOKUP(G4,FIN_TABLE,26)</f>
        <v>0</v>
      </c>
      <c r="H10" s="196" t="n">
        <f aca="false">VLOOKUP(H4,FIN_TABLE,26)</f>
        <v>0</v>
      </c>
      <c r="I10" s="196" t="n">
        <f aca="false">VLOOKUP(I4,FIN_TABLE,26)</f>
        <v>0</v>
      </c>
      <c r="J10" s="196" t="n">
        <f aca="false">VLOOKUP(J4,FIN_TABLE,26)</f>
        <v>0</v>
      </c>
      <c r="K10" s="196" t="n">
        <f aca="false">VLOOKUP(K4,FIN_TABLE,26)</f>
        <v>0</v>
      </c>
      <c r="L10" s="196" t="n">
        <f aca="false">VLOOKUP(L4,FIN_TABLE,26)</f>
        <v>0</v>
      </c>
      <c r="M10" s="196" t="n">
        <f aca="false">VLOOKUP(M4,FIN_TABLE,26)</f>
        <v>0</v>
      </c>
      <c r="N10" s="196" t="n">
        <f aca="false">VLOOKUP(N4,FIN_TABLE,26)</f>
        <v>0</v>
      </c>
      <c r="O10" s="196" t="n">
        <f aca="false">VLOOKUP(O4,FIN_TABLE,26)</f>
        <v>0</v>
      </c>
      <c r="P10" s="196" t="n">
        <f aca="false">VLOOKUP(P4,FIN_TABLE,26)</f>
        <v>0</v>
      </c>
      <c r="Q10" s="196" t="n">
        <f aca="false">VLOOKUP(Q4,FIN_TABLE,26)</f>
        <v>0</v>
      </c>
      <c r="R10" s="196" t="n">
        <f aca="false">VLOOKUP(R4,FIN_TABLE,26)</f>
        <v>0</v>
      </c>
      <c r="S10" s="196" t="n">
        <f aca="false">VLOOKUP(S4,FIN_TABLE,26)</f>
        <v>0</v>
      </c>
      <c r="T10" s="196" t="n">
        <f aca="false">VLOOKUP(T4,FIN_TABLE,26)</f>
        <v>0</v>
      </c>
      <c r="U10" s="196" t="n">
        <f aca="false">VLOOKUP(U4,FIN_TABLE,26)</f>
        <v>0</v>
      </c>
      <c r="V10" s="196" t="n">
        <f aca="false">VLOOKUP(V4,FIN_TABLE,26)</f>
        <v>0</v>
      </c>
      <c r="W10" s="196" t="n">
        <f aca="false">VLOOKUP(W4,FIN_TABLE,26)</f>
        <v>0</v>
      </c>
      <c r="X10" s="196" t="n">
        <f aca="false">VLOOKUP(X4,FIN_TABLE,26)</f>
        <v>0</v>
      </c>
      <c r="Y10" s="196" t="n">
        <f aca="false">VLOOKUP(Y4,FIN_TABLE,26)</f>
        <v>0</v>
      </c>
      <c r="Z10" s="196" t="n">
        <f aca="false">VLOOKUP(Z4,FIN_TABLE,26)</f>
        <v>0</v>
      </c>
      <c r="AA10" s="196" t="n">
        <f aca="false">VLOOKUP(AA4,FIN_TABLE,26)</f>
        <v>0</v>
      </c>
      <c r="AB10" s="196" t="n">
        <f aca="false">VLOOKUP(AB4,FIN_TABLE,26)</f>
        <v>0</v>
      </c>
      <c r="AC10" s="196" t="n">
        <f aca="false">VLOOKUP(AC4,FIN_TABLE,26)</f>
        <v>0</v>
      </c>
      <c r="AD10" s="197" t="n">
        <f aca="false">SUM(D10:X10)</f>
        <v>0</v>
      </c>
    </row>
    <row r="11" customFormat="false" ht="12.75" hidden="false" customHeight="false" outlineLevel="0" collapsed="false">
      <c r="A11" s="311" t="s">
        <v>304</v>
      </c>
      <c r="B11" s="30"/>
      <c r="C11" s="30"/>
      <c r="D11" s="203" t="n">
        <f aca="false">VLOOKUP(D4,FIN_TABLE,27)</f>
        <v>0</v>
      </c>
      <c r="E11" s="203" t="n">
        <f aca="false">VLOOKUP(E4,FIN_TABLE,27)</f>
        <v>0</v>
      </c>
      <c r="F11" s="203" t="n">
        <f aca="false">VLOOKUP(F4,FIN_TABLE,27)</f>
        <v>0</v>
      </c>
      <c r="G11" s="203" t="n">
        <f aca="false">VLOOKUP(G4,FIN_TABLE,27)</f>
        <v>0</v>
      </c>
      <c r="H11" s="203" t="n">
        <f aca="false">VLOOKUP(H4,FIN_TABLE,27)</f>
        <v>0</v>
      </c>
      <c r="I11" s="203" t="n">
        <f aca="false">VLOOKUP(I4,FIN_TABLE,27)</f>
        <v>0</v>
      </c>
      <c r="J11" s="203" t="n">
        <f aca="false">VLOOKUP(J4,FIN_TABLE,27)</f>
        <v>0</v>
      </c>
      <c r="K11" s="203" t="n">
        <f aca="false">VLOOKUP(K4,FIN_TABLE,27)</f>
        <v>0</v>
      </c>
      <c r="L11" s="203" t="n">
        <f aca="false">VLOOKUP(L4,FIN_TABLE,27)</f>
        <v>0</v>
      </c>
      <c r="M11" s="203" t="n">
        <f aca="false">VLOOKUP(M4,FIN_TABLE,27)</f>
        <v>0</v>
      </c>
      <c r="N11" s="203" t="n">
        <f aca="false">VLOOKUP(N4,FIN_TABLE,27)</f>
        <v>0</v>
      </c>
      <c r="O11" s="203" t="n">
        <f aca="false">VLOOKUP(O4,FIN_TABLE,27)</f>
        <v>0</v>
      </c>
      <c r="P11" s="203" t="n">
        <f aca="false">VLOOKUP(P4,FIN_TABLE,27)</f>
        <v>0</v>
      </c>
      <c r="Q11" s="203" t="n">
        <f aca="false">VLOOKUP(Q4,FIN_TABLE,27)</f>
        <v>0</v>
      </c>
      <c r="R11" s="203" t="n">
        <f aca="false">VLOOKUP(R4,FIN_TABLE,27)</f>
        <v>0</v>
      </c>
      <c r="S11" s="203" t="n">
        <f aca="false">VLOOKUP(S4,FIN_TABLE,27)</f>
        <v>0</v>
      </c>
      <c r="T11" s="203" t="n">
        <f aca="false">VLOOKUP(T4,FIN_TABLE,27)</f>
        <v>0</v>
      </c>
      <c r="U11" s="203" t="n">
        <f aca="false">VLOOKUP(U4,FIN_TABLE,27)</f>
        <v>0</v>
      </c>
      <c r="V11" s="203" t="n">
        <f aca="false">VLOOKUP(V4,FIN_TABLE,27)</f>
        <v>0</v>
      </c>
      <c r="W11" s="203" t="n">
        <f aca="false">VLOOKUP(W4,FIN_TABLE,27)</f>
        <v>0</v>
      </c>
      <c r="X11" s="203" t="n">
        <f aca="false">VLOOKUP(X4,FIN_TABLE,27)</f>
        <v>0</v>
      </c>
      <c r="Y11" s="203" t="n">
        <f aca="false">VLOOKUP(Y4,FIN_TABLE,27)</f>
        <v>0</v>
      </c>
      <c r="Z11" s="203" t="n">
        <f aca="false">VLOOKUP(Z4,FIN_TABLE,27)</f>
        <v>0</v>
      </c>
      <c r="AA11" s="203" t="n">
        <f aca="false">VLOOKUP(AA4,FIN_TABLE,27)</f>
        <v>0</v>
      </c>
      <c r="AB11" s="203" t="n">
        <f aca="false">VLOOKUP(AB4,FIN_TABLE,27)</f>
        <v>0</v>
      </c>
      <c r="AC11" s="203" t="n">
        <f aca="false">VLOOKUP(AC4,FIN_TABLE,27)</f>
        <v>0</v>
      </c>
      <c r="AD11" s="204" t="n">
        <f aca="false">SUM(D11:X11)</f>
        <v>0</v>
      </c>
      <c r="AE11" s="5" t="str">
        <f aca="false">IF(ABS(AD11-DEBT)&lt;0.01," ","SUM OF PRINCIPAL PAYMENTS DOES NOT EQUAL DEBT")</f>
        <v> </v>
      </c>
    </row>
    <row r="12" customFormat="false" ht="12.75" hidden="false" customHeight="false" outlineLevel="0" collapsed="false">
      <c r="A12" s="312" t="s">
        <v>305</v>
      </c>
      <c r="B12" s="266"/>
      <c r="C12" s="266"/>
      <c r="D12" s="313" t="n">
        <f aca="false">SUM(D10:D11)</f>
        <v>0</v>
      </c>
      <c r="E12" s="313" t="n">
        <f aca="false">SUM(E10:E11)</f>
        <v>0</v>
      </c>
      <c r="F12" s="313" t="n">
        <f aca="false">SUM(F10:F11)</f>
        <v>0</v>
      </c>
      <c r="G12" s="313" t="n">
        <f aca="false">SUM(G10:G11)</f>
        <v>0</v>
      </c>
      <c r="H12" s="313" t="n">
        <f aca="false">SUM(H10:H11)</f>
        <v>0</v>
      </c>
      <c r="I12" s="313" t="n">
        <f aca="false">SUM(I10:I11)</f>
        <v>0</v>
      </c>
      <c r="J12" s="313" t="n">
        <f aca="false">SUM(J10:J11)</f>
        <v>0</v>
      </c>
      <c r="K12" s="313" t="n">
        <f aca="false">SUM(K10:K11)</f>
        <v>0</v>
      </c>
      <c r="L12" s="313" t="n">
        <f aca="false">SUM(L10:L11)</f>
        <v>0</v>
      </c>
      <c r="M12" s="313" t="n">
        <f aca="false">SUM(M10:M11)</f>
        <v>0</v>
      </c>
      <c r="N12" s="313" t="n">
        <f aca="false">SUM(N10:N11)</f>
        <v>0</v>
      </c>
      <c r="O12" s="313" t="n">
        <f aca="false">SUM(O10:O11)</f>
        <v>0</v>
      </c>
      <c r="P12" s="313" t="n">
        <f aca="false">SUM(P10:P11)</f>
        <v>0</v>
      </c>
      <c r="Q12" s="313" t="n">
        <f aca="false">SUM(Q10:Q11)</f>
        <v>0</v>
      </c>
      <c r="R12" s="313" t="n">
        <f aca="false">SUM(R10:R11)</f>
        <v>0</v>
      </c>
      <c r="S12" s="313" t="n">
        <f aca="false">SUM(S10:S11)</f>
        <v>0</v>
      </c>
      <c r="T12" s="313" t="n">
        <f aca="false">SUM(T10:T11)</f>
        <v>0</v>
      </c>
      <c r="U12" s="313" t="n">
        <f aca="false">SUM(U10:U11)</f>
        <v>0</v>
      </c>
      <c r="V12" s="313" t="n">
        <f aca="false">SUM(V10:V11)</f>
        <v>0</v>
      </c>
      <c r="W12" s="313" t="n">
        <f aca="false">SUM(W10:W11)</f>
        <v>0</v>
      </c>
      <c r="X12" s="313" t="n">
        <f aca="false">SUM(X10:X11)</f>
        <v>0</v>
      </c>
      <c r="Y12" s="313" t="n">
        <f aca="false">SUM(Y10:Y11)</f>
        <v>0</v>
      </c>
      <c r="Z12" s="313" t="n">
        <f aca="false">SUM(Z10:Z11)</f>
        <v>0</v>
      </c>
      <c r="AA12" s="313" t="n">
        <f aca="false">SUM(AA10:AA11)</f>
        <v>0</v>
      </c>
      <c r="AB12" s="313" t="n">
        <f aca="false">SUM(AB10:AB11)</f>
        <v>0</v>
      </c>
      <c r="AC12" s="313" t="n">
        <f aca="false">SUM(AC10:AC11)</f>
        <v>0</v>
      </c>
      <c r="AD12" s="314" t="n">
        <f aca="false">SUM(AD10:AD11)</f>
        <v>0</v>
      </c>
    </row>
    <row r="15" customFormat="false" ht="12.75" hidden="false" customHeight="false" outlineLevel="0" collapsed="false">
      <c r="A15" s="310" t="s">
        <v>306</v>
      </c>
      <c r="B15" s="17"/>
      <c r="C15" s="315" t="str">
        <f aca="false">ASS!T30</f>
        <v>   Tranche 1:</v>
      </c>
      <c r="D15" s="315"/>
      <c r="E15" s="315"/>
      <c r="F15" s="315"/>
      <c r="G15" s="315" t="str">
        <f aca="false">ASS!T38</f>
        <v>   Tranche 2:</v>
      </c>
      <c r="H15" s="315"/>
      <c r="I15" s="315"/>
      <c r="J15" s="315"/>
      <c r="K15" s="315" t="str">
        <f aca="false">ASS!T46</f>
        <v>   Tranche 3: Other</v>
      </c>
      <c r="L15" s="315"/>
      <c r="M15" s="315"/>
      <c r="N15" s="315"/>
      <c r="O15" s="315" t="str">
        <f aca="false">ASS!T54</f>
        <v>   Tranche 4: Other</v>
      </c>
      <c r="P15" s="315"/>
      <c r="Q15" s="315"/>
      <c r="R15" s="315"/>
      <c r="S15" s="315" t="str">
        <f aca="false">ASS!T62</f>
        <v>   Tranche 5: Other</v>
      </c>
      <c r="T15" s="315"/>
      <c r="U15" s="315"/>
      <c r="V15" s="315"/>
      <c r="W15" s="315" t="str">
        <f aca="false">ASS!T70</f>
        <v>   Tranche 6: Other</v>
      </c>
      <c r="X15" s="315"/>
      <c r="Y15" s="315"/>
      <c r="Z15" s="315"/>
      <c r="AA15" s="15"/>
      <c r="AB15" s="17"/>
    </row>
    <row r="16" customFormat="false" ht="12.75" hidden="false" customHeight="false" outlineLevel="0" collapsed="false">
      <c r="A16" s="316" t="s">
        <v>307</v>
      </c>
      <c r="B16" s="34"/>
      <c r="C16" s="29" t="s">
        <v>6</v>
      </c>
      <c r="D16" s="30"/>
      <c r="E16" s="134" t="n">
        <f aca="false">ASS!X31</f>
        <v>0</v>
      </c>
      <c r="F16" s="34"/>
      <c r="G16" s="29" t="s">
        <v>6</v>
      </c>
      <c r="H16" s="30"/>
      <c r="I16" s="134" t="n">
        <f aca="false">ASS!X39</f>
        <v>0</v>
      </c>
      <c r="J16" s="134"/>
      <c r="K16" s="29" t="s">
        <v>6</v>
      </c>
      <c r="L16" s="30"/>
      <c r="M16" s="282" t="n">
        <f aca="false">ASS!X47</f>
        <v>0</v>
      </c>
      <c r="N16" s="282"/>
      <c r="O16" s="29" t="s">
        <v>6</v>
      </c>
      <c r="P16" s="30"/>
      <c r="Q16" s="282" t="n">
        <f aca="false">ASS!X55</f>
        <v>0</v>
      </c>
      <c r="R16" s="34"/>
      <c r="S16" s="29" t="s">
        <v>6</v>
      </c>
      <c r="T16" s="30"/>
      <c r="U16" s="282" t="n">
        <f aca="false">ASS!X63</f>
        <v>0</v>
      </c>
      <c r="V16" s="34"/>
      <c r="W16" s="29" t="s">
        <v>6</v>
      </c>
      <c r="X16" s="30"/>
      <c r="Y16" s="134" t="n">
        <f aca="false">ASS!X71</f>
        <v>0</v>
      </c>
      <c r="Z16" s="34"/>
      <c r="AA16" s="30"/>
      <c r="AB16" s="34"/>
    </row>
    <row r="17" customFormat="false" ht="12.75" hidden="false" customHeight="false" outlineLevel="0" collapsed="false">
      <c r="A17" s="29"/>
      <c r="B17" s="34"/>
      <c r="C17" s="29" t="s">
        <v>308</v>
      </c>
      <c r="D17" s="30"/>
      <c r="E17" s="30" t="n">
        <f aca="false">ASS!X32</f>
        <v>0</v>
      </c>
      <c r="F17" s="34" t="s">
        <v>309</v>
      </c>
      <c r="G17" s="29" t="s">
        <v>308</v>
      </c>
      <c r="H17" s="30"/>
      <c r="I17" s="30" t="n">
        <f aca="false">ASS!X40</f>
        <v>0</v>
      </c>
      <c r="J17" s="34" t="s">
        <v>309</v>
      </c>
      <c r="K17" s="29" t="s">
        <v>308</v>
      </c>
      <c r="L17" s="30"/>
      <c r="M17" s="30" t="n">
        <f aca="false">ASS!X48</f>
        <v>0</v>
      </c>
      <c r="N17" s="34" t="s">
        <v>309</v>
      </c>
      <c r="O17" s="29" t="s">
        <v>308</v>
      </c>
      <c r="P17" s="30"/>
      <c r="Q17" s="30" t="n">
        <f aca="false">ASS!X56</f>
        <v>0</v>
      </c>
      <c r="R17" s="34" t="s">
        <v>309</v>
      </c>
      <c r="S17" s="29" t="s">
        <v>308</v>
      </c>
      <c r="T17" s="30"/>
      <c r="U17" s="30" t="n">
        <f aca="false">ASS!X64</f>
        <v>0</v>
      </c>
      <c r="V17" s="34" t="s">
        <v>309</v>
      </c>
      <c r="W17" s="29" t="s">
        <v>308</v>
      </c>
      <c r="X17" s="30"/>
      <c r="Y17" s="30" t="n">
        <f aca="false">ASS!X72</f>
        <v>0</v>
      </c>
      <c r="Z17" s="34" t="s">
        <v>309</v>
      </c>
      <c r="AA17" s="30"/>
      <c r="AB17" s="34"/>
    </row>
    <row r="18" customFormat="false" ht="12.75" hidden="false" customHeight="false" outlineLevel="0" collapsed="false">
      <c r="A18" s="29"/>
      <c r="B18" s="34"/>
      <c r="C18" s="29" t="s">
        <v>282</v>
      </c>
      <c r="D18" s="30"/>
      <c r="E18" s="72" t="n">
        <f aca="false">ASS!X35</f>
        <v>0</v>
      </c>
      <c r="F18" s="34"/>
      <c r="G18" s="29" t="s">
        <v>282</v>
      </c>
      <c r="H18" s="30"/>
      <c r="I18" s="72" t="n">
        <f aca="false">ASS!X43</f>
        <v>0</v>
      </c>
      <c r="J18" s="34"/>
      <c r="K18" s="29" t="s">
        <v>282</v>
      </c>
      <c r="L18" s="30"/>
      <c r="M18" s="72" t="n">
        <f aca="false">ASS!X51</f>
        <v>0</v>
      </c>
      <c r="N18" s="34"/>
      <c r="O18" s="29" t="s">
        <v>282</v>
      </c>
      <c r="P18" s="30"/>
      <c r="Q18" s="72" t="n">
        <f aca="false">ASS!X59</f>
        <v>0</v>
      </c>
      <c r="R18" s="34"/>
      <c r="S18" s="29" t="s">
        <v>282</v>
      </c>
      <c r="T18" s="30"/>
      <c r="U18" s="72" t="n">
        <f aca="false">ASS!X67</f>
        <v>0</v>
      </c>
      <c r="V18" s="34"/>
      <c r="W18" s="29" t="s">
        <v>282</v>
      </c>
      <c r="X18" s="30"/>
      <c r="Y18" s="72" t="n">
        <f aca="false">ASS!X75</f>
        <v>0</v>
      </c>
      <c r="Z18" s="34"/>
      <c r="AA18" s="30"/>
      <c r="AB18" s="34"/>
    </row>
    <row r="19" customFormat="false" ht="12.75" hidden="false" customHeight="false" outlineLevel="0" collapsed="false">
      <c r="A19" s="29"/>
      <c r="B19" s="34"/>
      <c r="C19" s="29" t="s">
        <v>310</v>
      </c>
      <c r="D19" s="30"/>
      <c r="E19" s="317" t="n">
        <f aca="false">ASS!$X$34</f>
        <v>0</v>
      </c>
      <c r="F19" s="34" t="s">
        <v>134</v>
      </c>
      <c r="G19" s="29" t="s">
        <v>310</v>
      </c>
      <c r="H19" s="30"/>
      <c r="I19" s="317" t="n">
        <f aca="false">ASS!$X$42</f>
        <v>0</v>
      </c>
      <c r="J19" s="34" t="s">
        <v>134</v>
      </c>
      <c r="K19" s="29" t="s">
        <v>310</v>
      </c>
      <c r="L19" s="30"/>
      <c r="M19" s="317" t="n">
        <f aca="false">ASS!$X$50</f>
        <v>0</v>
      </c>
      <c r="N19" s="34" t="s">
        <v>134</v>
      </c>
      <c r="O19" s="29" t="s">
        <v>310</v>
      </c>
      <c r="P19" s="30"/>
      <c r="Q19" s="317" t="n">
        <f aca="false">ASS!$X$58</f>
        <v>0</v>
      </c>
      <c r="R19" s="34" t="s">
        <v>134</v>
      </c>
      <c r="S19" s="29" t="s">
        <v>310</v>
      </c>
      <c r="T19" s="30"/>
      <c r="U19" s="317" t="n">
        <f aca="false">ASS!$X$66</f>
        <v>0</v>
      </c>
      <c r="V19" s="34" t="s">
        <v>134</v>
      </c>
      <c r="W19" s="29" t="s">
        <v>310</v>
      </c>
      <c r="X19" s="30"/>
      <c r="Y19" s="317" t="n">
        <f aca="false">ASS!$X$74</f>
        <v>0</v>
      </c>
      <c r="Z19" s="34" t="s">
        <v>134</v>
      </c>
      <c r="AA19" s="30"/>
      <c r="AB19" s="34"/>
    </row>
    <row r="20" customFormat="false" ht="12.75" hidden="false" customHeight="false" outlineLevel="0" collapsed="false">
      <c r="A20" s="29"/>
      <c r="B20" s="34"/>
      <c r="C20" s="29" t="str">
        <f aca="false">IF(ASS!$W$30=1,"STRAIGHT LINE AMORTIZATION",IF(ASS!$W$30=2,"MORTGAGE STYLE AMORTIZATION","CHECK"))</f>
        <v>CHECK</v>
      </c>
      <c r="D20" s="30"/>
      <c r="E20" s="30"/>
      <c r="F20" s="34"/>
      <c r="G20" s="29" t="str">
        <f aca="false">IF(ASS!$W$38=1,"STRAIGHT LINE AMORTIZATION",IF(ASS!$W$38=2,"MORTGAGE STYLE AMORTIZATION","CHECK"))</f>
        <v>CHECK</v>
      </c>
      <c r="H20" s="30"/>
      <c r="I20" s="30"/>
      <c r="J20" s="34"/>
      <c r="K20" s="29" t="str">
        <f aca="false">IF(ASS!$W$46=1,"STRAIGHT LINE AMORTIZATION",IF(ASS!$W$46=2,"MORTGAGE STYLE AMORTIZATION","CHECK"))</f>
        <v>CHECK</v>
      </c>
      <c r="L20" s="30"/>
      <c r="M20" s="30"/>
      <c r="N20" s="34"/>
      <c r="O20" s="29" t="str">
        <f aca="false">IF(ASS!$W$54=1,"STRAIGHT LINE AMORTIZATION",IF(ASS!$W$54=2,"MORTGAGE STYLE AMORTIZATION","CHECK"))</f>
        <v>CHECK</v>
      </c>
      <c r="P20" s="30"/>
      <c r="Q20" s="30"/>
      <c r="R20" s="34"/>
      <c r="S20" s="29" t="str">
        <f aca="false">IF(ASS!$W$62=1,"STRAIGHT LINE AMORTIZATION",IF(ASS!$W$62=2,"MORTGAGE STYLE AMORTIZATION","CHECK"))</f>
        <v>CHECK</v>
      </c>
      <c r="T20" s="30"/>
      <c r="U20" s="30"/>
      <c r="V20" s="34"/>
      <c r="W20" s="29" t="str">
        <f aca="false">IF(ASS!$W$70=1,"STRAIGHT LINE AMORTIZATION",IF(ASS!$W$70=2,"MORTGAGE STYLE AMORTIZATION","CHECK"))</f>
        <v>CHECK</v>
      </c>
      <c r="X20" s="30"/>
      <c r="Y20" s="30"/>
      <c r="Z20" s="34"/>
      <c r="AA20" s="318" t="s">
        <v>280</v>
      </c>
      <c r="AB20" s="319" t="s">
        <v>280</v>
      </c>
    </row>
    <row r="21" customFormat="false" ht="12.75" hidden="false" customHeight="false" outlineLevel="0" collapsed="false">
      <c r="A21" s="29"/>
      <c r="B21" s="34"/>
      <c r="C21" s="29"/>
      <c r="D21" s="30"/>
      <c r="E21" s="30"/>
      <c r="F21" s="34"/>
      <c r="G21" s="29"/>
      <c r="H21" s="30"/>
      <c r="I21" s="30"/>
      <c r="J21" s="34"/>
      <c r="K21" s="29"/>
      <c r="L21" s="30"/>
      <c r="M21" s="30"/>
      <c r="N21" s="34"/>
      <c r="O21" s="29"/>
      <c r="P21" s="30"/>
      <c r="Q21" s="30"/>
      <c r="R21" s="34"/>
      <c r="S21" s="29"/>
      <c r="T21" s="30"/>
      <c r="U21" s="30"/>
      <c r="V21" s="34"/>
      <c r="W21" s="29"/>
      <c r="X21" s="30"/>
      <c r="Y21" s="30"/>
      <c r="Z21" s="34"/>
      <c r="AA21" s="30"/>
      <c r="AB21" s="34"/>
    </row>
    <row r="22" customFormat="false" ht="12.75" hidden="false" customHeight="false" outlineLevel="0" collapsed="false">
      <c r="A22" s="278" t="s">
        <v>311</v>
      </c>
      <c r="B22" s="37" t="s">
        <v>312</v>
      </c>
      <c r="C22" s="278" t="s">
        <v>313</v>
      </c>
      <c r="D22" s="36" t="s">
        <v>314</v>
      </c>
      <c r="E22" s="36" t="s">
        <v>315</v>
      </c>
      <c r="F22" s="37" t="s">
        <v>316</v>
      </c>
      <c r="G22" s="278" t="s">
        <v>313</v>
      </c>
      <c r="H22" s="36" t="s">
        <v>314</v>
      </c>
      <c r="I22" s="36" t="s">
        <v>315</v>
      </c>
      <c r="J22" s="37" t="s">
        <v>316</v>
      </c>
      <c r="K22" s="278" t="s">
        <v>313</v>
      </c>
      <c r="L22" s="36" t="s">
        <v>314</v>
      </c>
      <c r="M22" s="36" t="s">
        <v>315</v>
      </c>
      <c r="N22" s="37" t="s">
        <v>316</v>
      </c>
      <c r="O22" s="278" t="s">
        <v>313</v>
      </c>
      <c r="P22" s="36" t="s">
        <v>314</v>
      </c>
      <c r="Q22" s="36" t="s">
        <v>315</v>
      </c>
      <c r="R22" s="37" t="s">
        <v>316</v>
      </c>
      <c r="S22" s="278" t="s">
        <v>313</v>
      </c>
      <c r="T22" s="36" t="s">
        <v>314</v>
      </c>
      <c r="U22" s="36" t="s">
        <v>315</v>
      </c>
      <c r="V22" s="37" t="s">
        <v>316</v>
      </c>
      <c r="W22" s="278" t="s">
        <v>313</v>
      </c>
      <c r="X22" s="36" t="s">
        <v>314</v>
      </c>
      <c r="Y22" s="36" t="s">
        <v>315</v>
      </c>
      <c r="Z22" s="37" t="s">
        <v>316</v>
      </c>
      <c r="AA22" s="36" t="s">
        <v>314</v>
      </c>
      <c r="AB22" s="37" t="s">
        <v>315</v>
      </c>
    </row>
    <row r="23" customFormat="false" ht="12.75" hidden="false" customHeight="false" outlineLevel="0" collapsed="false">
      <c r="A23" s="29" t="n">
        <f aca="false">STARTYR</f>
        <v>2001</v>
      </c>
      <c r="B23" s="34" t="n">
        <f aca="false">IF(MOSYR1&gt;1,0,1)</f>
        <v>0</v>
      </c>
      <c r="C23" s="320" t="n">
        <f aca="false">E16</f>
        <v>0</v>
      </c>
      <c r="D23" s="134" t="n">
        <f aca="false">IF($C23&gt;0,IF(D7&gt;6,C23*(D7-6)/12*E18,0),0)</f>
        <v>0</v>
      </c>
      <c r="E23" s="134" t="n">
        <f aca="false">IF(D7&lt;12,0,IF($E$19&gt;=B23,0,IF(C23&gt;1,IF(ASS!$W$30=1,$E$16/(($E$17*2)-$E$19),-PMT($E$18/2,($E$17*2-$E$19),$E$16,0)-D23),0)))</f>
        <v>0</v>
      </c>
      <c r="F23" s="118" t="n">
        <f aca="false">C23-E23</f>
        <v>0</v>
      </c>
      <c r="G23" s="320" t="n">
        <f aca="false">I16</f>
        <v>0</v>
      </c>
      <c r="H23" s="134" t="n">
        <f aca="false">IF($G23&gt;0,IF(D7&gt;6,G23*(D7-6)/12*I18,0),0)</f>
        <v>0</v>
      </c>
      <c r="I23" s="134" t="n">
        <f aca="false">IF(D7&lt;12,0,IF($I$19&gt;=$B23,0,IF(G23&gt;1,IF(ASS!$W$38=1,$I$16/(($I$17*2)-$I$19),-PMT($I$18/2,($I$17*2-$I$19),$I$16,0)-H23),0)))</f>
        <v>0</v>
      </c>
      <c r="J23" s="118" t="n">
        <f aca="false">G23-I23</f>
        <v>0</v>
      </c>
      <c r="K23" s="320" t="n">
        <f aca="false">M16</f>
        <v>0</v>
      </c>
      <c r="L23" s="134" t="n">
        <f aca="false">IF($K23&gt;0,IF(D7&gt;6,K23*(D7-6)/12*M18,0),0)</f>
        <v>0</v>
      </c>
      <c r="M23" s="134" t="n">
        <f aca="false">IF(D7&lt;12,0,IF($M$19&gt;=$B23,0,IF(K23&gt;1,IF(ASS!$W$46=1,$M$16/(($M$17*2)-$M$19),-PMT($M$18/2,($M$17*2-$M$19),$M$16,0)-L23),0)))</f>
        <v>0</v>
      </c>
      <c r="N23" s="118" t="n">
        <f aca="false">K23-M23</f>
        <v>0</v>
      </c>
      <c r="O23" s="320" t="n">
        <f aca="false">Q16</f>
        <v>0</v>
      </c>
      <c r="P23" s="134" t="n">
        <f aca="false">IF($O23&gt;0,IF(D7&gt;6,O23*(D7-6)/12*Q18,0),0)</f>
        <v>0</v>
      </c>
      <c r="Q23" s="134" t="n">
        <f aca="false">IF(D7&lt;12,0,IF($Q$19&gt;=B23,0,IF(O23&gt;1,IF(ASS!$W$54=1,$Q$16/(($Q$17*2)-$Q$19),-PMT($Q$18/2,($Q$17*2-$Q$19),$Q$16,0)-P23),0)))</f>
        <v>0</v>
      </c>
      <c r="R23" s="118" t="n">
        <f aca="false">O23-Q23</f>
        <v>0</v>
      </c>
      <c r="S23" s="320" t="n">
        <f aca="false">U16</f>
        <v>0</v>
      </c>
      <c r="T23" s="134" t="n">
        <f aca="false">IF(S23&gt;0,IF($D7&gt;6,S23*($D7-6)/12*U18,0),0)</f>
        <v>0</v>
      </c>
      <c r="U23" s="134" t="n">
        <f aca="false">IF(D7&lt;12,0,IF($U$19&gt;=B23,0,IF(S23&gt;1,IF(ASS!$W$62=1,$U$16/(($U$17*2)-$U$19),-PMT($U$18/2,($U$17*2-$U$19),$U$16,0)-T23),0)))</f>
        <v>0</v>
      </c>
      <c r="V23" s="118" t="n">
        <f aca="false">S23-U23</f>
        <v>0</v>
      </c>
      <c r="W23" s="320" t="n">
        <f aca="false">Y16</f>
        <v>0</v>
      </c>
      <c r="X23" s="134" t="n">
        <f aca="false">IF(W23&gt;0,IF($D7&gt;6,W23*($D7-6)/12*Y18,0),0)</f>
        <v>0</v>
      </c>
      <c r="Y23" s="134" t="n">
        <f aca="false">IF(D7&lt;12,0,IF($Y$19&gt;=B23,0,IF(W23&gt;1,IF(ASS!$W$70=1,$Y$16/(($Y$17*2)-$Y$19),-PMT($Y$18/2,($Y$17*2-$Y$19),$Y$16,0)-X23),0)))</f>
        <v>0</v>
      </c>
      <c r="Z23" s="118" t="n">
        <f aca="false">W23-Y23</f>
        <v>0</v>
      </c>
      <c r="AA23" s="134"/>
      <c r="AB23" s="118"/>
    </row>
    <row r="24" customFormat="false" ht="12.75" hidden="false" customHeight="false" outlineLevel="0" collapsed="false">
      <c r="A24" s="57" t="n">
        <f aca="false">A23</f>
        <v>2001</v>
      </c>
      <c r="B24" s="60" t="n">
        <f aca="false">B23+1</f>
        <v>1</v>
      </c>
      <c r="C24" s="321" t="n">
        <f aca="false">F23</f>
        <v>0</v>
      </c>
      <c r="D24" s="322" t="n">
        <f aca="false">IF($D$7&gt;6,C24*$E$18*0.5,C24*E18*$D$7/12)</f>
        <v>0</v>
      </c>
      <c r="E24" s="323" t="n">
        <f aca="false">IF($E$19&gt;=B24,0,IF(C24&gt;1,IF(ASS!$W$30=1,$E$16/(($E$17*2)-$E$19),-PMT($E$18/2,($E$17*2-B23),C24,0)-D24),0))</f>
        <v>0</v>
      </c>
      <c r="F24" s="121" t="n">
        <f aca="false">C24-E24</f>
        <v>0</v>
      </c>
      <c r="G24" s="321" t="n">
        <f aca="false">J23</f>
        <v>0</v>
      </c>
      <c r="H24" s="322" t="n">
        <f aca="false">IF($D$7&gt;6,G24*$I$18*0.5,G24*$I$18*$D$7/12)</f>
        <v>0</v>
      </c>
      <c r="I24" s="323" t="n">
        <f aca="false">IF($I$19&gt;=B24,0,IF(G24&gt;1,IF(ASS!$W$38=1,$I$16/(($I$17*2)-$I$19),-PMT($I$18/2,($I$17*2-B23),G24,0)-H24),0))</f>
        <v>0</v>
      </c>
      <c r="J24" s="121" t="n">
        <f aca="false">G24-I24</f>
        <v>0</v>
      </c>
      <c r="K24" s="321" t="n">
        <f aca="false">N23</f>
        <v>0</v>
      </c>
      <c r="L24" s="322" t="n">
        <f aca="false">IF($D$7&gt;6,K24*$M$18*0.5,K24*$M$18*$D$7/12)</f>
        <v>0</v>
      </c>
      <c r="M24" s="323" t="n">
        <f aca="false">IF($M$19&gt;=B24,0,IF(K24&gt;1,IF(ASS!$W$46=1,$M$16/(($M$17*2)-$M$19),-PMT($M$18/2,($M$17*2-B23),K24,0)-L24),0))</f>
        <v>0</v>
      </c>
      <c r="N24" s="121" t="n">
        <f aca="false">K24-M24</f>
        <v>0</v>
      </c>
      <c r="O24" s="321" t="n">
        <f aca="false">R23</f>
        <v>0</v>
      </c>
      <c r="P24" s="322" t="n">
        <f aca="false">IF($D$7&gt;6,O24*$Q$18*0.5,O24*$Q$18*$D$7/12)</f>
        <v>0</v>
      </c>
      <c r="Q24" s="323" t="n">
        <f aca="false">IF($Q$19&gt;=B24,0,IF(O24&gt;1,IF(ASS!$W$54=1,$Q$16/(($Q$17*2)-$Q$19),-PMT($Q$18/2,($Q$17*2-B23),O24,0)-P24),0))</f>
        <v>0</v>
      </c>
      <c r="R24" s="121" t="n">
        <f aca="false">O24-Q24</f>
        <v>0</v>
      </c>
      <c r="S24" s="321" t="n">
        <f aca="false">V23</f>
        <v>0</v>
      </c>
      <c r="T24" s="322" t="n">
        <f aca="false">IF($D$7&gt;6,S24*$U$18*0.5,S24*$U$18*$D$7/12)</f>
        <v>0</v>
      </c>
      <c r="U24" s="323" t="n">
        <f aca="false">IF($U$19&gt;=B24,0,IF(S24&gt;1,IF(ASS!$W$62=1,$U$16/(($U$17*2)-$U$19),-PMT($U$18/2,($U$17*2-B23),S24,0)-T24),0))</f>
        <v>0</v>
      </c>
      <c r="V24" s="121" t="n">
        <f aca="false">S24-U24</f>
        <v>0</v>
      </c>
      <c r="W24" s="321" t="n">
        <f aca="false">Z23</f>
        <v>0</v>
      </c>
      <c r="X24" s="322" t="n">
        <f aca="false">IF($D$7&gt;6,W24*$Y$18*0.5,W24*$Y$18*$D$7/12)</f>
        <v>0</v>
      </c>
      <c r="Y24" s="323" t="n">
        <f aca="false">IF($Y$19&gt;=B24,0,IF(W24&gt;1,IF(ASS!$W$70=1,$Y$16/(($Y$17*2)-$Y$19),-PMT($Y$18/2,($Y$17*2-B23),W24,0)-X24),0))</f>
        <v>0</v>
      </c>
      <c r="Z24" s="121" t="n">
        <f aca="false">W24-Y24</f>
        <v>0</v>
      </c>
      <c r="AA24" s="322" t="n">
        <f aca="false">SUM(D23:D24,H23:H24,L23:L24,P23:P24,T23:T24,X23:X24)</f>
        <v>0</v>
      </c>
      <c r="AB24" s="121" t="n">
        <f aca="false">SUM(E23:E24,I23:I24,M23:M24,Q23:Q24,U23:U24,Y23:Y24)</f>
        <v>0</v>
      </c>
    </row>
    <row r="25" customFormat="false" ht="12.75" hidden="false" customHeight="false" outlineLevel="0" collapsed="false">
      <c r="A25" s="29" t="n">
        <f aca="false">A23+1</f>
        <v>2002</v>
      </c>
      <c r="B25" s="34" t="n">
        <f aca="false">B24+1</f>
        <v>2</v>
      </c>
      <c r="C25" s="320" t="n">
        <f aca="false">F24</f>
        <v>0</v>
      </c>
      <c r="D25" s="134" t="n">
        <f aca="false">C25*$E$18*0.5</f>
        <v>0</v>
      </c>
      <c r="E25" s="134" t="n">
        <f aca="false">IF($E$19&gt;=B25,0,IF(C25&gt;1,IF(ASS!$W$30=1,$E$16/(($E$17*2)-$E$19),-PMT($E$18/2,($E$17*2-B24),C25,0)-D25),0))</f>
        <v>0</v>
      </c>
      <c r="F25" s="118" t="n">
        <f aca="false">C25-E25</f>
        <v>0</v>
      </c>
      <c r="G25" s="320" t="n">
        <f aca="false">J24</f>
        <v>0</v>
      </c>
      <c r="H25" s="134" t="n">
        <f aca="false">G25*$I$18*0.5</f>
        <v>0</v>
      </c>
      <c r="I25" s="134" t="n">
        <f aca="false">IF($I$19&gt;=B25,0,IF(G25&gt;1,IF(ASS!$W$38=1,$I$16/(($I$17*2)-$I$19),-PMT($I$18/2,($I$17*2-B24),G25,0)-H25),0))</f>
        <v>0</v>
      </c>
      <c r="J25" s="118" t="n">
        <f aca="false">G25-I25</f>
        <v>0</v>
      </c>
      <c r="K25" s="320" t="n">
        <f aca="false">N24</f>
        <v>0</v>
      </c>
      <c r="L25" s="134" t="n">
        <f aca="false">K25*$M$18*0.5</f>
        <v>0</v>
      </c>
      <c r="M25" s="134" t="n">
        <f aca="false">IF($M$19&gt;=B25,0,IF(K25&gt;1,IF(ASS!$W$46=1,$M$16/(($M$17*2)-$M$19),-PMT($M$18/2,($M$17*2-B24),K25,0)-L25),0))</f>
        <v>0</v>
      </c>
      <c r="N25" s="118" t="n">
        <f aca="false">K25-M25</f>
        <v>0</v>
      </c>
      <c r="O25" s="320" t="n">
        <f aca="false">R24</f>
        <v>0</v>
      </c>
      <c r="P25" s="134" t="n">
        <f aca="false">O25*$Q$18*0.5</f>
        <v>0</v>
      </c>
      <c r="Q25" s="134" t="n">
        <f aca="false">IF($Q$19&gt;=B25,0,IF(O25&gt;1,IF(ASS!$W$54=1,$Q$16/(($Q$17*2)-$Q$19),-PMT($Q$18/2,($Q$17*2-B24),O25,0)-P25),0))</f>
        <v>0</v>
      </c>
      <c r="R25" s="118" t="n">
        <f aca="false">O25-Q25</f>
        <v>0</v>
      </c>
      <c r="S25" s="320" t="n">
        <f aca="false">V24</f>
        <v>0</v>
      </c>
      <c r="T25" s="134" t="n">
        <f aca="false">S25*$U$18*0.5</f>
        <v>0</v>
      </c>
      <c r="U25" s="134" t="n">
        <f aca="false">IF($U$19&gt;=B25,0,IF(S25&gt;1,IF(ASS!$W$62=1,$U$16/(($U$17*2)-$U$19),-PMT($U$18/2,($U$17*2-B24),S25,0)-T25),0))</f>
        <v>0</v>
      </c>
      <c r="V25" s="118" t="n">
        <f aca="false">S25-U25</f>
        <v>0</v>
      </c>
      <c r="W25" s="320" t="n">
        <f aca="false">Z24</f>
        <v>0</v>
      </c>
      <c r="X25" s="134" t="n">
        <f aca="false">W25*$Y$18*0.5</f>
        <v>0</v>
      </c>
      <c r="Y25" s="134" t="n">
        <f aca="false">IF($Y$19&gt;=B25,0,IF(W25&gt;1,IF(ASS!$W$70=1,$Y$16/(($Y$17*2)-$Y$19),-PMT($Y$18/2,($Y$17*2-B24),W25,0)-X25),0))</f>
        <v>0</v>
      </c>
      <c r="Z25" s="118" t="n">
        <f aca="false">W25-Y25</f>
        <v>0</v>
      </c>
      <c r="AA25" s="134"/>
      <c r="AB25" s="118"/>
    </row>
    <row r="26" customFormat="false" ht="12.75" hidden="false" customHeight="false" outlineLevel="0" collapsed="false">
      <c r="A26" s="57" t="n">
        <f aca="false">A25</f>
        <v>2002</v>
      </c>
      <c r="B26" s="60" t="n">
        <f aca="false">B25+1</f>
        <v>3</v>
      </c>
      <c r="C26" s="321" t="n">
        <f aca="false">F25</f>
        <v>0</v>
      </c>
      <c r="D26" s="322" t="n">
        <f aca="false">C26*$E$18*0.5</f>
        <v>0</v>
      </c>
      <c r="E26" s="322" t="n">
        <f aca="false">IF($E$19&gt;=B26,0,IF(C26&gt;1,IF(ASS!$W$30=1,$E$16/(($E$17*2)-$E$19),-PMT($E$18/2,($E$17*2-B25),C26,0)-D26),0))</f>
        <v>0</v>
      </c>
      <c r="F26" s="121" t="n">
        <f aca="false">C26-E26</f>
        <v>0</v>
      </c>
      <c r="G26" s="321" t="n">
        <f aca="false">J25</f>
        <v>0</v>
      </c>
      <c r="H26" s="322" t="n">
        <f aca="false">G26*$I$18*0.5</f>
        <v>0</v>
      </c>
      <c r="I26" s="322" t="n">
        <f aca="false">IF($I$19&gt;=B26,0,IF(G26&gt;1,IF(ASS!$W$38=1,$I$16/(($I$17*2)-$I$19),-PMT($I$18/2,($I$17*2-B25),G26,0)-H26),0))</f>
        <v>0</v>
      </c>
      <c r="J26" s="121" t="n">
        <f aca="false">G26-I26</f>
        <v>0</v>
      </c>
      <c r="K26" s="321" t="n">
        <f aca="false">N25</f>
        <v>0</v>
      </c>
      <c r="L26" s="322" t="n">
        <f aca="false">K26*$M$18*0.5</f>
        <v>0</v>
      </c>
      <c r="M26" s="322" t="n">
        <f aca="false">IF($M$19&gt;=B26,0,IF(K26&gt;1,IF(ASS!$W$46=1,$M$16/(($M$17*2)-$M$19),-PMT($M$18/2,($M$17*2-B25),K26,0)-L26),0))</f>
        <v>0</v>
      </c>
      <c r="N26" s="121" t="n">
        <f aca="false">K26-M26</f>
        <v>0</v>
      </c>
      <c r="O26" s="321" t="n">
        <f aca="false">R25</f>
        <v>0</v>
      </c>
      <c r="P26" s="322" t="n">
        <f aca="false">O26*$Q$18*0.5</f>
        <v>0</v>
      </c>
      <c r="Q26" s="322" t="n">
        <f aca="false">IF($Q$19&gt;=B26,0,IF(O26&gt;1,IF(ASS!$W$54=1,$Q$16/(($Q$17*2)-$Q$19),-PMT($Q$18/2,($Q$17*2-B25),O26,0)-P26),0))</f>
        <v>0</v>
      </c>
      <c r="R26" s="121" t="n">
        <f aca="false">O26-Q26</f>
        <v>0</v>
      </c>
      <c r="S26" s="321" t="n">
        <f aca="false">V25</f>
        <v>0</v>
      </c>
      <c r="T26" s="322" t="n">
        <f aca="false">S26*$U$18*0.5</f>
        <v>0</v>
      </c>
      <c r="U26" s="322" t="n">
        <f aca="false">IF($U$19&gt;=B26,0,IF(S26&gt;1,IF(ASS!$W$62=1,$U$16/(($U$17*2)-$U$19),-PMT($U$18/2,($U$17*2-B25),S26,0)-T26),0))</f>
        <v>0</v>
      </c>
      <c r="V26" s="121" t="n">
        <f aca="false">S26-U26</f>
        <v>0</v>
      </c>
      <c r="W26" s="321" t="n">
        <f aca="false">Z25</f>
        <v>0</v>
      </c>
      <c r="X26" s="322" t="n">
        <f aca="false">W26*$Y$18*0.5</f>
        <v>0</v>
      </c>
      <c r="Y26" s="322" t="n">
        <f aca="false">IF($Y$19&gt;=B26,0,IF(W26&gt;1,IF(ASS!$W$70=1,$Y$16/(($Y$17*2)-$Y$19),-PMT($Y$18/2,($Y$17*2-B25),W26,0)-X26),0))</f>
        <v>0</v>
      </c>
      <c r="Z26" s="121" t="n">
        <f aca="false">W26-Y26</f>
        <v>0</v>
      </c>
      <c r="AA26" s="322" t="n">
        <f aca="false">SUM(D25:D26,H25:H26,L25:L26,P25:P26,T25:T26,X25:X26)</f>
        <v>0</v>
      </c>
      <c r="AB26" s="121" t="n">
        <f aca="false">SUM(E25:E26,I25:I26,M25:M26,Q25:Q26,U25:U26,Y25:Y26)</f>
        <v>0</v>
      </c>
    </row>
    <row r="27" customFormat="false" ht="12.75" hidden="false" customHeight="false" outlineLevel="0" collapsed="false">
      <c r="A27" s="29" t="n">
        <f aca="false">A25+1</f>
        <v>2003</v>
      </c>
      <c r="B27" s="34" t="n">
        <f aca="false">B26+1</f>
        <v>4</v>
      </c>
      <c r="C27" s="320" t="n">
        <f aca="false">F26</f>
        <v>0</v>
      </c>
      <c r="D27" s="134" t="n">
        <f aca="false">C27*$E$18*0.5</f>
        <v>0</v>
      </c>
      <c r="E27" s="134" t="n">
        <f aca="false">IF($E$19&gt;=B27,0,IF(C27&gt;1,IF(ASS!$W$30=1,$E$16/(($E$17*2)-$E$19),-PMT($E$18/2,($E$17*2-B26),C27,0)-D27),0))</f>
        <v>0</v>
      </c>
      <c r="F27" s="118" t="n">
        <f aca="false">C27-E27</f>
        <v>0</v>
      </c>
      <c r="G27" s="320" t="n">
        <f aca="false">J26</f>
        <v>0</v>
      </c>
      <c r="H27" s="134" t="n">
        <f aca="false">G27*$I$18*0.5</f>
        <v>0</v>
      </c>
      <c r="I27" s="134" t="n">
        <f aca="false">IF($I$19&gt;=B27,0,IF(G27&gt;1,IF(ASS!$W$38=1,$I$16/(($I$17*2)-$I$19),-PMT($I$18/2,($I$17*2-B26),G27,0)-H27),0))</f>
        <v>0</v>
      </c>
      <c r="J27" s="118" t="n">
        <f aca="false">G27-I27</f>
        <v>0</v>
      </c>
      <c r="K27" s="320" t="n">
        <f aca="false">N26</f>
        <v>0</v>
      </c>
      <c r="L27" s="134" t="n">
        <f aca="false">K27*$M$18*0.5</f>
        <v>0</v>
      </c>
      <c r="M27" s="134" t="n">
        <f aca="false">IF($M$19&gt;=B27,0,IF(K27&gt;1,IF(ASS!$W$46=1,$M$16/(($M$17*2)-$M$19),-PMT($M$18/2,($M$17*2-B26),K27,0)-L27),0))</f>
        <v>0</v>
      </c>
      <c r="N27" s="118" t="n">
        <f aca="false">K27-M27</f>
        <v>0</v>
      </c>
      <c r="O27" s="320" t="n">
        <f aca="false">R26</f>
        <v>0</v>
      </c>
      <c r="P27" s="134" t="n">
        <f aca="false">O27*$Q$18*0.5</f>
        <v>0</v>
      </c>
      <c r="Q27" s="134" t="n">
        <f aca="false">IF($Q$19&gt;=B27,0,IF(O27&gt;1,IF(ASS!$W$54=1,$Q$16/(($Q$17*2)-$Q$19),-PMT($Q$18/2,($Q$17*2-B26),O27,0)-P27),0))</f>
        <v>0</v>
      </c>
      <c r="R27" s="118" t="n">
        <f aca="false">O27-Q27</f>
        <v>0</v>
      </c>
      <c r="S27" s="320" t="n">
        <f aca="false">V26</f>
        <v>0</v>
      </c>
      <c r="T27" s="134" t="n">
        <f aca="false">S27*$U$18*0.5</f>
        <v>0</v>
      </c>
      <c r="U27" s="134" t="n">
        <f aca="false">IF($U$19&gt;=B27,0,IF(S27&gt;1,IF(ASS!$W$62=1,$U$16/(($U$17*2)-$U$19),-PMT($U$18/2,($U$17*2-B26),S27,0)-T27),0))</f>
        <v>0</v>
      </c>
      <c r="V27" s="118" t="n">
        <f aca="false">S27-U27</f>
        <v>0</v>
      </c>
      <c r="W27" s="320" t="n">
        <f aca="false">Z26</f>
        <v>0</v>
      </c>
      <c r="X27" s="134" t="n">
        <f aca="false">W27*$Y$18*0.5</f>
        <v>0</v>
      </c>
      <c r="Y27" s="134" t="n">
        <f aca="false">IF($Y$19&gt;=B27,0,IF(W27&gt;1,IF(ASS!$W$70=1,$Y$16/(($Y$17*2)-$Y$19),-PMT($Y$18/2,($Y$17*2-B26),W27,0)-X27),0))</f>
        <v>0</v>
      </c>
      <c r="Z27" s="118" t="n">
        <f aca="false">W27-Y27</f>
        <v>0</v>
      </c>
      <c r="AA27" s="134"/>
      <c r="AB27" s="118"/>
    </row>
    <row r="28" customFormat="false" ht="12.75" hidden="false" customHeight="false" outlineLevel="0" collapsed="false">
      <c r="A28" s="57" t="n">
        <f aca="false">A26+1</f>
        <v>2003</v>
      </c>
      <c r="B28" s="60" t="n">
        <f aca="false">B27+1</f>
        <v>5</v>
      </c>
      <c r="C28" s="321" t="n">
        <f aca="false">F27</f>
        <v>0</v>
      </c>
      <c r="D28" s="322" t="n">
        <f aca="false">C28*$E$18*0.5</f>
        <v>0</v>
      </c>
      <c r="E28" s="322" t="n">
        <f aca="false">IF($E$19&gt;=B28,0,IF(C28&gt;1,IF(ASS!$W$30=1,$E$16/(($E$17*2)-$E$19),-PMT($E$18/2,($E$17*2-B27),C28,0)-D28),0))</f>
        <v>0</v>
      </c>
      <c r="F28" s="121" t="n">
        <f aca="false">C28-E28</f>
        <v>0</v>
      </c>
      <c r="G28" s="321" t="n">
        <f aca="false">J27</f>
        <v>0</v>
      </c>
      <c r="H28" s="322" t="n">
        <f aca="false">G28*$I$18*0.5</f>
        <v>0</v>
      </c>
      <c r="I28" s="322" t="n">
        <f aca="false">IF($I$19&gt;=B28,0,IF(G28&gt;1,IF(ASS!$W$38=1,$I$16/(($I$17*2)-$I$19),-PMT($I$18/2,($I$17*2-B27),G28,0)-H28),0))</f>
        <v>0</v>
      </c>
      <c r="J28" s="121" t="n">
        <f aca="false">G28-I28</f>
        <v>0</v>
      </c>
      <c r="K28" s="321" t="n">
        <f aca="false">N27</f>
        <v>0</v>
      </c>
      <c r="L28" s="322" t="n">
        <f aca="false">K28*$M$18*0.5</f>
        <v>0</v>
      </c>
      <c r="M28" s="322" t="n">
        <f aca="false">IF($M$19&gt;=B28,0,IF(K28&gt;1,IF(ASS!$W$46=1,$M$16/(($M$17*2)-$M$19),-PMT($M$18/2,($M$17*2-B27),K28,0)-L28),0))</f>
        <v>0</v>
      </c>
      <c r="N28" s="121" t="n">
        <f aca="false">K28-M28</f>
        <v>0</v>
      </c>
      <c r="O28" s="321" t="n">
        <f aca="false">R27</f>
        <v>0</v>
      </c>
      <c r="P28" s="322" t="n">
        <f aca="false">O28*$Q$18*0.5</f>
        <v>0</v>
      </c>
      <c r="Q28" s="322" t="n">
        <f aca="false">IF($Q$19&gt;=B28,0,IF(O28&gt;1,IF(ASS!$W$54=1,$Q$16/(($Q$17*2)-$Q$19),-PMT($Q$18/2,($Q$17*2-B27),O28,0)-P28),0))</f>
        <v>0</v>
      </c>
      <c r="R28" s="121" t="n">
        <f aca="false">O28-Q28</f>
        <v>0</v>
      </c>
      <c r="S28" s="321" t="n">
        <f aca="false">V27</f>
        <v>0</v>
      </c>
      <c r="T28" s="322" t="n">
        <f aca="false">S28*$U$18*0.5</f>
        <v>0</v>
      </c>
      <c r="U28" s="322" t="n">
        <f aca="false">IF($U$19&gt;=B28,0,IF(S28&gt;1,IF(ASS!$W$62=1,$U$16/(($U$17*2)-$U$19),-PMT($U$18/2,($U$17*2-B27),S28,0)-T28),0))</f>
        <v>0</v>
      </c>
      <c r="V28" s="121" t="n">
        <f aca="false">S28-U28</f>
        <v>0</v>
      </c>
      <c r="W28" s="321" t="n">
        <f aca="false">Z27</f>
        <v>0</v>
      </c>
      <c r="X28" s="322" t="n">
        <f aca="false">W28*$Y$18*0.5</f>
        <v>0</v>
      </c>
      <c r="Y28" s="322" t="n">
        <f aca="false">IF($Y$19&gt;=B28,0,IF(W28&gt;1,IF(ASS!$W$70=1,$Y$16/(($Y$17*2)-$Y$19),-PMT($Y$18/2,($Y$17*2-B27),W28,0)-X28),0))</f>
        <v>0</v>
      </c>
      <c r="Z28" s="121" t="n">
        <f aca="false">W28-Y28</f>
        <v>0</v>
      </c>
      <c r="AA28" s="322" t="n">
        <f aca="false">SUM(D27:D28,H27:H28,L27:L28,P27:P28,T27:T28,X27:X28)</f>
        <v>0</v>
      </c>
      <c r="AB28" s="121" t="n">
        <f aca="false">SUM(E27:E28,I27:I28,M27:M28,Q27:Q28,U27:U28,Y27:Y28)</f>
        <v>0</v>
      </c>
    </row>
    <row r="29" customFormat="false" ht="12.75" hidden="false" customHeight="false" outlineLevel="0" collapsed="false">
      <c r="A29" s="29" t="n">
        <f aca="false">A27+1</f>
        <v>2004</v>
      </c>
      <c r="B29" s="34" t="n">
        <f aca="false">B28+1</f>
        <v>6</v>
      </c>
      <c r="C29" s="320" t="n">
        <f aca="false">F28</f>
        <v>0</v>
      </c>
      <c r="D29" s="134" t="n">
        <f aca="false">C29*$E$18*0.5</f>
        <v>0</v>
      </c>
      <c r="E29" s="134" t="n">
        <f aca="false">IF($E$19&gt;=B29,0,IF(C29&gt;1,IF(ASS!$W$30=1,$E$16/(($E$17*2)-$E$19),-PMT($E$18/2,($E$17*2-B28),C29,0)-D29),0))</f>
        <v>0</v>
      </c>
      <c r="F29" s="118" t="n">
        <f aca="false">C29-E29</f>
        <v>0</v>
      </c>
      <c r="G29" s="320" t="n">
        <f aca="false">J28</f>
        <v>0</v>
      </c>
      <c r="H29" s="134" t="n">
        <f aca="false">G29*$I$18*0.5</f>
        <v>0</v>
      </c>
      <c r="I29" s="134" t="n">
        <f aca="false">IF($I$19&gt;=B29,0,IF(G29&gt;1,IF(ASS!$W$38=1,$I$16/(($I$17*2)-$I$19),-PMT($I$18/2,($I$17*2-B28),G29,0)-H29),0))</f>
        <v>0</v>
      </c>
      <c r="J29" s="118" t="n">
        <f aca="false">G29-I29</f>
        <v>0</v>
      </c>
      <c r="K29" s="320" t="n">
        <f aca="false">N28</f>
        <v>0</v>
      </c>
      <c r="L29" s="134" t="n">
        <f aca="false">K29*$M$18*0.5</f>
        <v>0</v>
      </c>
      <c r="M29" s="134" t="n">
        <f aca="false">IF($M$19&gt;=B29,0,IF(K29&gt;1,IF(ASS!$W$46=1,$M$16/(($M$17*2)-$M$19),-PMT($M$18/2,($M$17*2-B28),K29,0)-L29),0))</f>
        <v>0</v>
      </c>
      <c r="N29" s="118" t="n">
        <f aca="false">K29-M29</f>
        <v>0</v>
      </c>
      <c r="O29" s="320" t="n">
        <f aca="false">R28</f>
        <v>0</v>
      </c>
      <c r="P29" s="134" t="n">
        <f aca="false">O29*$Q$18*0.5</f>
        <v>0</v>
      </c>
      <c r="Q29" s="134" t="n">
        <f aca="false">IF($Q$19&gt;=B29,0,IF(O29&gt;1,IF(ASS!$W$54=1,$Q$16/(($Q$17*2)-$Q$19),-PMT($Q$18/2,($Q$17*2-B28),O29,0)-P29),0))</f>
        <v>0</v>
      </c>
      <c r="R29" s="118" t="n">
        <f aca="false">O29-Q29</f>
        <v>0</v>
      </c>
      <c r="S29" s="320" t="n">
        <f aca="false">V28</f>
        <v>0</v>
      </c>
      <c r="T29" s="134" t="n">
        <f aca="false">S29*$U$18*0.5</f>
        <v>0</v>
      </c>
      <c r="U29" s="134" t="n">
        <f aca="false">IF($U$19&gt;=B29,0,IF(S29&gt;1,IF(ASS!$W$62=1,$U$16/(($U$17*2)-$U$19),-PMT($U$18/2,($U$17*2-B28),S29,0)-T29),0))</f>
        <v>0</v>
      </c>
      <c r="V29" s="118" t="n">
        <f aca="false">S29-U29</f>
        <v>0</v>
      </c>
      <c r="W29" s="320" t="n">
        <f aca="false">Z28</f>
        <v>0</v>
      </c>
      <c r="X29" s="134" t="n">
        <f aca="false">W29*$Y$18*0.5</f>
        <v>0</v>
      </c>
      <c r="Y29" s="134" t="n">
        <f aca="false">IF($Y$19&gt;=B29,0,IF(W29&gt;1,IF(ASS!$W$70=1,$Y$16/(($Y$17*2)-$Y$19),-PMT($Y$18/2,($Y$17*2-B28),W29,0)-X29),0))</f>
        <v>0</v>
      </c>
      <c r="Z29" s="118" t="n">
        <f aca="false">W29-Y29</f>
        <v>0</v>
      </c>
      <c r="AA29" s="134"/>
      <c r="AB29" s="118"/>
    </row>
    <row r="30" customFormat="false" ht="12.75" hidden="false" customHeight="false" outlineLevel="0" collapsed="false">
      <c r="A30" s="57" t="n">
        <f aca="false">A29</f>
        <v>2004</v>
      </c>
      <c r="B30" s="60" t="n">
        <f aca="false">B29+1</f>
        <v>7</v>
      </c>
      <c r="C30" s="321" t="n">
        <f aca="false">F29</f>
        <v>0</v>
      </c>
      <c r="D30" s="322" t="n">
        <f aca="false">C30*$E$18*0.5</f>
        <v>0</v>
      </c>
      <c r="E30" s="322" t="n">
        <f aca="false">IF($E$19&gt;=B30,0,IF(C30&gt;1,IF(ASS!$W$30=1,$E$16/(($E$17*2)-$E$19),-PMT($E$18/2,($E$17*2-B29),C30,0)-D30),0))</f>
        <v>0</v>
      </c>
      <c r="F30" s="121" t="n">
        <f aca="false">C30-E30</f>
        <v>0</v>
      </c>
      <c r="G30" s="321" t="n">
        <f aca="false">J29</f>
        <v>0</v>
      </c>
      <c r="H30" s="322" t="n">
        <f aca="false">G30*$I$18*0.5</f>
        <v>0</v>
      </c>
      <c r="I30" s="322" t="n">
        <f aca="false">IF($I$19&gt;=B30,0,IF(G30&gt;1,IF(ASS!$W$38=1,$I$16/(($I$17*2)-$I$19),-PMT($I$18/2,($I$17*2-B29),G30,0)-H30),0))</f>
        <v>0</v>
      </c>
      <c r="J30" s="121" t="n">
        <f aca="false">G30-I30</f>
        <v>0</v>
      </c>
      <c r="K30" s="321" t="n">
        <f aca="false">N29</f>
        <v>0</v>
      </c>
      <c r="L30" s="322" t="n">
        <f aca="false">K30*$M$18*0.5</f>
        <v>0</v>
      </c>
      <c r="M30" s="322" t="n">
        <f aca="false">IF($M$19&gt;=B30,0,IF(K30&gt;1,IF(ASS!$W$46=1,$M$16/(($M$17*2)-$M$19),-PMT($M$18/2,($M$17*2-B29),K30,0)-L30),0))</f>
        <v>0</v>
      </c>
      <c r="N30" s="121" t="n">
        <f aca="false">K30-M30</f>
        <v>0</v>
      </c>
      <c r="O30" s="321" t="n">
        <f aca="false">R29</f>
        <v>0</v>
      </c>
      <c r="P30" s="322" t="n">
        <f aca="false">O30*$Q$18*0.5</f>
        <v>0</v>
      </c>
      <c r="Q30" s="322" t="n">
        <f aca="false">IF($Q$19&gt;=B30,0,IF(O30&gt;1,IF(ASS!$W$54=1,$Q$16/(($Q$17*2)-$Q$19),-PMT($Q$18/2,($Q$17*2-B29),O30,0)-P30),0))</f>
        <v>0</v>
      </c>
      <c r="R30" s="121" t="n">
        <f aca="false">O30-Q30</f>
        <v>0</v>
      </c>
      <c r="S30" s="321" t="n">
        <f aca="false">V29</f>
        <v>0</v>
      </c>
      <c r="T30" s="322" t="n">
        <f aca="false">S30*$U$18*0.5</f>
        <v>0</v>
      </c>
      <c r="U30" s="322" t="n">
        <f aca="false">IF($U$19&gt;=B30,0,IF(S30&gt;1,IF(ASS!$W$62=1,$U$16/(($U$17*2)-$U$19),-PMT($U$18/2,($U$17*2-B29),S30,0)-T30),0))</f>
        <v>0</v>
      </c>
      <c r="V30" s="121" t="n">
        <f aca="false">S30-U30</f>
        <v>0</v>
      </c>
      <c r="W30" s="321" t="n">
        <f aca="false">Z29</f>
        <v>0</v>
      </c>
      <c r="X30" s="322" t="n">
        <f aca="false">W30*$Y$18*0.5</f>
        <v>0</v>
      </c>
      <c r="Y30" s="322" t="n">
        <f aca="false">IF($Y$19&gt;=B30,0,IF(W30&gt;1,IF(ASS!$W$70=1,$Y$16/(($Y$17*2)-$Y$19),-PMT($Y$18/2,($Y$17*2-B29),W30,0)-X30),0))</f>
        <v>0</v>
      </c>
      <c r="Z30" s="121" t="n">
        <f aca="false">W30-Y30</f>
        <v>0</v>
      </c>
      <c r="AA30" s="322" t="n">
        <f aca="false">SUM(D29:D30,H29:H30,L29:L30,P29:P30,T29:T30,X29:X30)</f>
        <v>0</v>
      </c>
      <c r="AB30" s="121" t="n">
        <f aca="false">SUM(E29:E30,I29:I30,M29:M30,Q29:Q30,U29:U30,Y29:Y30)</f>
        <v>0</v>
      </c>
    </row>
    <row r="31" customFormat="false" ht="12.75" hidden="false" customHeight="false" outlineLevel="0" collapsed="false">
      <c r="A31" s="29" t="n">
        <f aca="false">A29+1</f>
        <v>2005</v>
      </c>
      <c r="B31" s="34" t="n">
        <f aca="false">B30+1</f>
        <v>8</v>
      </c>
      <c r="C31" s="320" t="n">
        <f aca="false">F30</f>
        <v>0</v>
      </c>
      <c r="D31" s="134" t="n">
        <f aca="false">C31*$E$18*0.5</f>
        <v>0</v>
      </c>
      <c r="E31" s="134" t="n">
        <f aca="false">IF($E$19&gt;=B31,0,IF(C31&gt;1,IF(ASS!$W$30=1,$E$16/(($E$17*2)-$E$19),-PMT($E$18/2,($E$17*2-B30),C31,0)-D31),0))</f>
        <v>0</v>
      </c>
      <c r="F31" s="118" t="n">
        <f aca="false">C31-E31</f>
        <v>0</v>
      </c>
      <c r="G31" s="320" t="n">
        <f aca="false">J30</f>
        <v>0</v>
      </c>
      <c r="H31" s="134" t="n">
        <f aca="false">G31*$I$18*0.5</f>
        <v>0</v>
      </c>
      <c r="I31" s="134" t="n">
        <f aca="false">IF($I$19&gt;=B31,0,IF(G31&gt;1,IF(ASS!$W$38=1,$I$16/(($I$17*2)-$I$19),-PMT($I$18/2,($I$17*2-B30),G31,0)-H31),0))</f>
        <v>0</v>
      </c>
      <c r="J31" s="118" t="n">
        <f aca="false">G31-I31</f>
        <v>0</v>
      </c>
      <c r="K31" s="320" t="n">
        <f aca="false">N30</f>
        <v>0</v>
      </c>
      <c r="L31" s="134" t="n">
        <f aca="false">K31*$M$18*0.5</f>
        <v>0</v>
      </c>
      <c r="M31" s="134" t="n">
        <f aca="false">IF($M$19&gt;=B31,0,IF(K31&gt;1,IF(ASS!$W$46=1,$M$16/(($M$17*2)-$M$19),-PMT($M$18/2,($M$17*2-B30),K31,0)-L31),0))</f>
        <v>0</v>
      </c>
      <c r="N31" s="118" t="n">
        <f aca="false">K31-M31</f>
        <v>0</v>
      </c>
      <c r="O31" s="320" t="n">
        <f aca="false">R30</f>
        <v>0</v>
      </c>
      <c r="P31" s="134" t="n">
        <f aca="false">O31*$Q$18*0.5</f>
        <v>0</v>
      </c>
      <c r="Q31" s="134" t="n">
        <f aca="false">IF($Q$19&gt;=B31,0,IF(O31&gt;1,IF(ASS!$W$54=1,$Q$16/(($Q$17*2)-$Q$19),-PMT($Q$18/2,($Q$17*2-B30),O31,0)-P31),0))</f>
        <v>0</v>
      </c>
      <c r="R31" s="118" t="n">
        <f aca="false">O31-Q31</f>
        <v>0</v>
      </c>
      <c r="S31" s="320" t="n">
        <f aca="false">V30</f>
        <v>0</v>
      </c>
      <c r="T31" s="134" t="n">
        <f aca="false">S31*$U$18*0.5</f>
        <v>0</v>
      </c>
      <c r="U31" s="134" t="n">
        <f aca="false">IF($U$19&gt;=B31,0,IF(S31&gt;1,IF(ASS!$W$62=1,$U$16/(($U$17*2)-$U$19),-PMT($U$18/2,($U$17*2-B30),S31,0)-T31),0))</f>
        <v>0</v>
      </c>
      <c r="V31" s="118" t="n">
        <f aca="false">S31-U31</f>
        <v>0</v>
      </c>
      <c r="W31" s="320" t="n">
        <f aca="false">Z30</f>
        <v>0</v>
      </c>
      <c r="X31" s="134" t="n">
        <f aca="false">W31*$Y$18*0.5</f>
        <v>0</v>
      </c>
      <c r="Y31" s="134" t="n">
        <f aca="false">IF($Y$19&gt;=B31,0,IF(W31&gt;1,IF(ASS!$W$70=1,$Y$16/(($Y$17*2)-$Y$19),-PMT($Y$18/2,($Y$17*2-B30),W31,0)-X31),0))</f>
        <v>0</v>
      </c>
      <c r="Z31" s="118" t="n">
        <f aca="false">W31-Y31</f>
        <v>0</v>
      </c>
      <c r="AA31" s="134"/>
      <c r="AB31" s="118"/>
    </row>
    <row r="32" customFormat="false" ht="12.75" hidden="false" customHeight="false" outlineLevel="0" collapsed="false">
      <c r="A32" s="57" t="n">
        <f aca="false">A31</f>
        <v>2005</v>
      </c>
      <c r="B32" s="60" t="n">
        <f aca="false">B31+1</f>
        <v>9</v>
      </c>
      <c r="C32" s="321" t="n">
        <f aca="false">F31</f>
        <v>0</v>
      </c>
      <c r="D32" s="322" t="n">
        <f aca="false">C32*$E$18*0.5</f>
        <v>0</v>
      </c>
      <c r="E32" s="322" t="n">
        <f aca="false">IF($E$19&gt;=B32,0,IF(C32&gt;1,IF(ASS!$W$30=1,$E$16/(($E$17*2)-$E$19),-PMT($E$18/2,($E$17*2-B31),C32,0)-D32),0))</f>
        <v>0</v>
      </c>
      <c r="F32" s="121" t="n">
        <f aca="false">C32-E32</f>
        <v>0</v>
      </c>
      <c r="G32" s="321" t="n">
        <f aca="false">J31</f>
        <v>0</v>
      </c>
      <c r="H32" s="322" t="n">
        <f aca="false">G32*$I$18*0.5</f>
        <v>0</v>
      </c>
      <c r="I32" s="322" t="n">
        <f aca="false">IF($I$19&gt;=B32,0,IF(G32&gt;1,IF(ASS!$W$38=1,$I$16/(($I$17*2)-$I$19),-PMT($I$18/2,($I$17*2-B31),G32,0)-H32),0))</f>
        <v>0</v>
      </c>
      <c r="J32" s="121" t="n">
        <f aca="false">G32-I32</f>
        <v>0</v>
      </c>
      <c r="K32" s="321" t="n">
        <f aca="false">N31</f>
        <v>0</v>
      </c>
      <c r="L32" s="322" t="n">
        <f aca="false">K32*$M$18*0.5</f>
        <v>0</v>
      </c>
      <c r="M32" s="322" t="n">
        <f aca="false">IF($M$19&gt;=B32,0,IF(K32&gt;1,IF(ASS!$W$46=1,$M$16/(($M$17*2)-$M$19),-PMT($M$18/2,($M$17*2-B31),K32,0)-L32),0))</f>
        <v>0</v>
      </c>
      <c r="N32" s="121" t="n">
        <f aca="false">K32-M32</f>
        <v>0</v>
      </c>
      <c r="O32" s="321" t="n">
        <f aca="false">R31</f>
        <v>0</v>
      </c>
      <c r="P32" s="322" t="n">
        <f aca="false">O32*$Q$18*0.5</f>
        <v>0</v>
      </c>
      <c r="Q32" s="322" t="n">
        <f aca="false">IF($Q$19&gt;=B32,0,IF(O32&gt;1,IF(ASS!$W$54=1,$Q$16/(($Q$17*2)-$Q$19),-PMT($Q$18/2,($Q$17*2-B31),O32,0)-P32),0))</f>
        <v>0</v>
      </c>
      <c r="R32" s="121" t="n">
        <f aca="false">O32-Q32</f>
        <v>0</v>
      </c>
      <c r="S32" s="321" t="n">
        <f aca="false">V31</f>
        <v>0</v>
      </c>
      <c r="T32" s="322" t="n">
        <f aca="false">S32*$U$18*0.5</f>
        <v>0</v>
      </c>
      <c r="U32" s="322" t="n">
        <f aca="false">IF($U$19&gt;=B32,0,IF(S32&gt;1,IF(ASS!$W$62=1,$U$16/(($U$17*2)-$U$19),-PMT($U$18/2,($U$17*2-B31),S32,0)-T32),0))</f>
        <v>0</v>
      </c>
      <c r="V32" s="121" t="n">
        <f aca="false">S32-U32</f>
        <v>0</v>
      </c>
      <c r="W32" s="321" t="n">
        <f aca="false">Z31</f>
        <v>0</v>
      </c>
      <c r="X32" s="322" t="n">
        <f aca="false">W32*$Y$18*0.5</f>
        <v>0</v>
      </c>
      <c r="Y32" s="322" t="n">
        <f aca="false">IF($Y$19&gt;=B32,0,IF(W32&gt;1,IF(ASS!$W$70=1,$Y$16/(($Y$17*2)-$Y$19),-PMT($Y$18/2,($Y$17*2-B31),W32,0)-X32),0))</f>
        <v>0</v>
      </c>
      <c r="Z32" s="121" t="n">
        <f aca="false">W32-Y32</f>
        <v>0</v>
      </c>
      <c r="AA32" s="322" t="n">
        <f aca="false">SUM(D31:D32,H31:H32,L31:L32,P31:P32,T31:T32,X31:X32)</f>
        <v>0</v>
      </c>
      <c r="AB32" s="121" t="n">
        <f aca="false">SUM(E31:E32,I31:I32,M31:M32,Q31:Q32,U31:U32,Y31:Y32)</f>
        <v>0</v>
      </c>
    </row>
    <row r="33" customFormat="false" ht="12.75" hidden="false" customHeight="false" outlineLevel="0" collapsed="false">
      <c r="A33" s="29" t="n">
        <f aca="false">A31+1</f>
        <v>2006</v>
      </c>
      <c r="B33" s="34" t="n">
        <f aca="false">B32+1</f>
        <v>10</v>
      </c>
      <c r="C33" s="320" t="n">
        <f aca="false">F32</f>
        <v>0</v>
      </c>
      <c r="D33" s="134" t="n">
        <f aca="false">C33*$E$18*0.5</f>
        <v>0</v>
      </c>
      <c r="E33" s="134" t="n">
        <f aca="false">IF($E$19&gt;=B33,0,IF(C33&gt;1,IF(ASS!$W$30=1,$E$16/(($E$17*2)-$E$19),-PMT($E$18/2,($E$17*2-B32),C33,0)-D33),0))</f>
        <v>0</v>
      </c>
      <c r="F33" s="118" t="n">
        <f aca="false">C33-E33</f>
        <v>0</v>
      </c>
      <c r="G33" s="320" t="n">
        <f aca="false">J32</f>
        <v>0</v>
      </c>
      <c r="H33" s="134" t="n">
        <f aca="false">G33*$I$18*0.5</f>
        <v>0</v>
      </c>
      <c r="I33" s="134" t="n">
        <f aca="false">IF($I$19&gt;=B33,0,IF(G33&gt;1,IF(ASS!$W$38=1,$I$16/(($I$17*2)-$I$19),-PMT($I$18/2,($I$17*2-B32),G33,0)-H33),0))</f>
        <v>0</v>
      </c>
      <c r="J33" s="118" t="n">
        <f aca="false">G33-I33</f>
        <v>0</v>
      </c>
      <c r="K33" s="320" t="n">
        <f aca="false">N32</f>
        <v>0</v>
      </c>
      <c r="L33" s="134" t="n">
        <f aca="false">K33*$M$18*0.5</f>
        <v>0</v>
      </c>
      <c r="M33" s="134" t="n">
        <f aca="false">IF($M$19&gt;=B33,0,IF(K33&gt;1,IF(ASS!$W$46=1,$M$16/(($M$17*2)-$M$19),-PMT($M$18/2,($M$17*2-B32),K33,0)-L33),0))</f>
        <v>0</v>
      </c>
      <c r="N33" s="118" t="n">
        <f aca="false">K33-M33</f>
        <v>0</v>
      </c>
      <c r="O33" s="320" t="n">
        <f aca="false">R32</f>
        <v>0</v>
      </c>
      <c r="P33" s="134" t="n">
        <f aca="false">O33*$Q$18*0.5</f>
        <v>0</v>
      </c>
      <c r="Q33" s="134" t="n">
        <f aca="false">IF($Q$19&gt;=B33,0,IF(O33&gt;1,IF(ASS!$W$54=1,$Q$16/(($Q$17*2)-$Q$19),-PMT($Q$18/2,($Q$17*2-B32),O33,0)-P33),0))</f>
        <v>0</v>
      </c>
      <c r="R33" s="118" t="n">
        <f aca="false">O33-Q33</f>
        <v>0</v>
      </c>
      <c r="S33" s="320" t="n">
        <f aca="false">V32</f>
        <v>0</v>
      </c>
      <c r="T33" s="134" t="n">
        <f aca="false">S33*$U$18*0.5</f>
        <v>0</v>
      </c>
      <c r="U33" s="134" t="n">
        <f aca="false">IF($U$19&gt;=B33,0,IF(S33&gt;1,IF(ASS!$W$62=1,$U$16/(($U$17*2)-$U$19),-PMT($U$18/2,($U$17*2-B32),S33,0)-T33),0))</f>
        <v>0</v>
      </c>
      <c r="V33" s="118" t="n">
        <f aca="false">S33-U33</f>
        <v>0</v>
      </c>
      <c r="W33" s="320" t="n">
        <f aca="false">Z32</f>
        <v>0</v>
      </c>
      <c r="X33" s="134" t="n">
        <f aca="false">W33*$Y$18*0.5</f>
        <v>0</v>
      </c>
      <c r="Y33" s="134" t="n">
        <f aca="false">IF($Y$19&gt;=B33,0,IF(W33&gt;1,IF(ASS!$W$70=1,$Y$16/(($Y$17*2)-$Y$19),-PMT($Y$18/2,($Y$17*2-B32),W33,0)-X33),0))</f>
        <v>0</v>
      </c>
      <c r="Z33" s="118" t="n">
        <f aca="false">W33-Y33</f>
        <v>0</v>
      </c>
      <c r="AA33" s="134"/>
      <c r="AB33" s="118"/>
    </row>
    <row r="34" customFormat="false" ht="12.75" hidden="false" customHeight="false" outlineLevel="0" collapsed="false">
      <c r="A34" s="57" t="n">
        <f aca="false">A33</f>
        <v>2006</v>
      </c>
      <c r="B34" s="60" t="n">
        <f aca="false">B33+1</f>
        <v>11</v>
      </c>
      <c r="C34" s="321" t="n">
        <f aca="false">F33</f>
        <v>0</v>
      </c>
      <c r="D34" s="322" t="n">
        <f aca="false">C34*$E$18*0.5</f>
        <v>0</v>
      </c>
      <c r="E34" s="322" t="n">
        <f aca="false">IF($E$19&gt;=B34,0,IF(C34&gt;1,IF(ASS!$W$30=1,$E$16/(($E$17*2)-$E$19),-PMT($E$18/2,($E$17*2-B33),C34,0)-D34),0))</f>
        <v>0</v>
      </c>
      <c r="F34" s="121" t="n">
        <f aca="false">C34-E34</f>
        <v>0</v>
      </c>
      <c r="G34" s="321" t="n">
        <f aca="false">J33</f>
        <v>0</v>
      </c>
      <c r="H34" s="322" t="n">
        <f aca="false">G34*$I$18*0.5</f>
        <v>0</v>
      </c>
      <c r="I34" s="322" t="n">
        <f aca="false">IF($I$19&gt;=B34,0,IF(G34&gt;1,IF(ASS!$W$38=1,$I$16/(($I$17*2)-$I$19),-PMT($I$18/2,($I$17*2-B33),G34,0)-H34),0))</f>
        <v>0</v>
      </c>
      <c r="J34" s="121" t="n">
        <f aca="false">G34-I34</f>
        <v>0</v>
      </c>
      <c r="K34" s="321" t="n">
        <f aca="false">N33</f>
        <v>0</v>
      </c>
      <c r="L34" s="322" t="n">
        <f aca="false">K34*$M$18*0.5</f>
        <v>0</v>
      </c>
      <c r="M34" s="322" t="n">
        <f aca="false">IF($M$19&gt;=B34,0,IF(K34&gt;1,IF(ASS!$W$46=1,$M$16/(($M$17*2)-$M$19),-PMT($M$18/2,($M$17*2-B33),K34,0)-L34),0))</f>
        <v>0</v>
      </c>
      <c r="N34" s="121" t="n">
        <f aca="false">K34-M34</f>
        <v>0</v>
      </c>
      <c r="O34" s="321" t="n">
        <f aca="false">R33</f>
        <v>0</v>
      </c>
      <c r="P34" s="322" t="n">
        <f aca="false">O34*$Q$18*0.5</f>
        <v>0</v>
      </c>
      <c r="Q34" s="322" t="n">
        <f aca="false">IF($Q$19&gt;=B34,0,IF(O34&gt;1,IF(ASS!$W$54=1,$Q$16/(($Q$17*2)-$Q$19),-PMT($Q$18/2,($Q$17*2-B33),O34,0)-P34),0))</f>
        <v>0</v>
      </c>
      <c r="R34" s="121" t="n">
        <f aca="false">O34-Q34</f>
        <v>0</v>
      </c>
      <c r="S34" s="321" t="n">
        <f aca="false">V33</f>
        <v>0</v>
      </c>
      <c r="T34" s="322" t="n">
        <f aca="false">S34*$U$18*0.5</f>
        <v>0</v>
      </c>
      <c r="U34" s="322" t="n">
        <f aca="false">IF($U$19&gt;=B34,0,IF(S34&gt;1,IF(ASS!$W$62=1,$U$16/(($U$17*2)-$U$19),-PMT($U$18/2,($U$17*2-B33),S34,0)-T34),0))</f>
        <v>0</v>
      </c>
      <c r="V34" s="121" t="n">
        <f aca="false">S34-U34</f>
        <v>0</v>
      </c>
      <c r="W34" s="321" t="n">
        <f aca="false">Z33</f>
        <v>0</v>
      </c>
      <c r="X34" s="322" t="n">
        <f aca="false">W34*$Y$18*0.5</f>
        <v>0</v>
      </c>
      <c r="Y34" s="322" t="n">
        <f aca="false">IF($Y$19&gt;=B34,0,IF(W34&gt;1,IF(ASS!$W$70=1,$Y$16/(($Y$17*2)-$Y$19),-PMT($Y$18/2,($Y$17*2-B33),W34,0)-X34),0))</f>
        <v>0</v>
      </c>
      <c r="Z34" s="121" t="n">
        <f aca="false">W34-Y34</f>
        <v>0</v>
      </c>
      <c r="AA34" s="322" t="n">
        <f aca="false">SUM(D33:D34,H33:H34,L33:L34,P33:P34,T33:T34,X33:X34)</f>
        <v>0</v>
      </c>
      <c r="AB34" s="121" t="n">
        <f aca="false">SUM(E33:E34,I33:I34,M33:M34,Q33:Q34,U33:U34,Y33:Y34)</f>
        <v>0</v>
      </c>
    </row>
    <row r="35" customFormat="false" ht="12.75" hidden="false" customHeight="false" outlineLevel="0" collapsed="false">
      <c r="A35" s="29" t="n">
        <f aca="false">A33+1</f>
        <v>2007</v>
      </c>
      <c r="B35" s="34" t="n">
        <f aca="false">B34+1</f>
        <v>12</v>
      </c>
      <c r="C35" s="320" t="n">
        <f aca="false">F34</f>
        <v>0</v>
      </c>
      <c r="D35" s="134" t="n">
        <f aca="false">C35*$E$18*0.5</f>
        <v>0</v>
      </c>
      <c r="E35" s="134" t="n">
        <f aca="false">IF($E$19&gt;=B35,0,IF(C35&gt;1,IF(ASS!$W$30=1,$E$16/(($E$17*2)-$E$19),-PMT($E$18/2,($E$17*2-B34),C35,0)-D35),0))</f>
        <v>0</v>
      </c>
      <c r="F35" s="118" t="n">
        <f aca="false">C35-E35</f>
        <v>0</v>
      </c>
      <c r="G35" s="320" t="n">
        <f aca="false">J34</f>
        <v>0</v>
      </c>
      <c r="H35" s="134" t="n">
        <f aca="false">G35*$I$18*0.5</f>
        <v>0</v>
      </c>
      <c r="I35" s="134" t="n">
        <f aca="false">IF($I$19&gt;=B35,0,IF(G35&gt;1,IF(ASS!$W$38=1,$I$16/(($I$17*2)-$I$19),-PMT($I$18/2,($I$17*2-B34),G35,0)-H35),0))</f>
        <v>0</v>
      </c>
      <c r="J35" s="118" t="n">
        <f aca="false">G35-I35</f>
        <v>0</v>
      </c>
      <c r="K35" s="320" t="n">
        <f aca="false">N34</f>
        <v>0</v>
      </c>
      <c r="L35" s="134" t="n">
        <f aca="false">K35*$M$18*0.5</f>
        <v>0</v>
      </c>
      <c r="M35" s="134" t="n">
        <f aca="false">IF($M$19&gt;=B35,0,IF(K35&gt;1,IF(ASS!$W$46=1,$M$16/(($M$17*2)-$M$19),-PMT($M$18/2,($M$17*2-B34),K35,0)-L35),0))</f>
        <v>0</v>
      </c>
      <c r="N35" s="118" t="n">
        <f aca="false">K35-M35</f>
        <v>0</v>
      </c>
      <c r="O35" s="320" t="n">
        <f aca="false">R34</f>
        <v>0</v>
      </c>
      <c r="P35" s="134" t="n">
        <f aca="false">O35*$Q$18*0.5</f>
        <v>0</v>
      </c>
      <c r="Q35" s="134" t="n">
        <f aca="false">IF($Q$19&gt;=B35,0,IF(O35&gt;1,IF(ASS!$W$54=1,$Q$16/(($Q$17*2)-$Q$19),-PMT($Q$18/2,($Q$17*2-B34),O35,0)-P35),0))</f>
        <v>0</v>
      </c>
      <c r="R35" s="118" t="n">
        <f aca="false">O35-Q35</f>
        <v>0</v>
      </c>
      <c r="S35" s="320" t="n">
        <f aca="false">V34</f>
        <v>0</v>
      </c>
      <c r="T35" s="134" t="n">
        <f aca="false">S35*$U$18*0.5</f>
        <v>0</v>
      </c>
      <c r="U35" s="134" t="n">
        <f aca="false">IF($U$19&gt;=B35,0,IF(S35&gt;1,IF(ASS!$W$62=1,$U$16/(($U$17*2)-$U$19),-PMT($U$18/2,($U$17*2-B34),S35,0)-T35),0))</f>
        <v>0</v>
      </c>
      <c r="V35" s="118" t="n">
        <f aca="false">S35-U35</f>
        <v>0</v>
      </c>
      <c r="W35" s="320" t="n">
        <f aca="false">Z34</f>
        <v>0</v>
      </c>
      <c r="X35" s="134" t="n">
        <f aca="false">W35*$Y$18*0.5</f>
        <v>0</v>
      </c>
      <c r="Y35" s="134" t="n">
        <f aca="false">IF($Y$19&gt;=B35,0,IF(W35&gt;1,IF(ASS!$W$70=1,$Y$16/(($Y$17*2)-$Y$19),-PMT($Y$18/2,($Y$17*2-B34),W35,0)-X35),0))</f>
        <v>0</v>
      </c>
      <c r="Z35" s="118" t="n">
        <f aca="false">W35-Y35</f>
        <v>0</v>
      </c>
      <c r="AA35" s="134"/>
      <c r="AB35" s="118"/>
    </row>
    <row r="36" customFormat="false" ht="12.75" hidden="false" customHeight="false" outlineLevel="0" collapsed="false">
      <c r="A36" s="57" t="n">
        <f aca="false">A35</f>
        <v>2007</v>
      </c>
      <c r="B36" s="60" t="n">
        <f aca="false">B35+1</f>
        <v>13</v>
      </c>
      <c r="C36" s="321" t="n">
        <f aca="false">F35</f>
        <v>0</v>
      </c>
      <c r="D36" s="322" t="n">
        <f aca="false">C36*$E$18*0.5</f>
        <v>0</v>
      </c>
      <c r="E36" s="322" t="n">
        <f aca="false">IF($E$19&gt;=B36,0,IF(C36&gt;1,IF(ASS!$W$30=1,$E$16/(($E$17*2)-$E$19),-PMT($E$18/2,($E$17*2-B35),C36,0)-D36),0))</f>
        <v>0</v>
      </c>
      <c r="F36" s="121" t="n">
        <f aca="false">C36-E36</f>
        <v>0</v>
      </c>
      <c r="G36" s="321" t="n">
        <f aca="false">J35</f>
        <v>0</v>
      </c>
      <c r="H36" s="322" t="n">
        <f aca="false">G36*$I$18*0.5</f>
        <v>0</v>
      </c>
      <c r="I36" s="322" t="n">
        <f aca="false">IF($I$19&gt;=B36,0,IF(G36&gt;1,IF(ASS!$W$38=1,$I$16/(($I$17*2)-$I$19),-PMT($I$18/2,($I$17*2-B35),G36,0)-H36),0))</f>
        <v>0</v>
      </c>
      <c r="J36" s="121" t="n">
        <f aca="false">G36-I36</f>
        <v>0</v>
      </c>
      <c r="K36" s="321" t="n">
        <f aca="false">N35</f>
        <v>0</v>
      </c>
      <c r="L36" s="322" t="n">
        <f aca="false">K36*$M$18*0.5</f>
        <v>0</v>
      </c>
      <c r="M36" s="322" t="n">
        <f aca="false">IF($M$19&gt;=B36,0,IF(K36&gt;1,IF(ASS!$W$46=1,$M$16/(($M$17*2)-$M$19),-PMT($M$18/2,($M$17*2-B35),K36,0)-L36),0))</f>
        <v>0</v>
      </c>
      <c r="N36" s="121" t="n">
        <f aca="false">K36-M36</f>
        <v>0</v>
      </c>
      <c r="O36" s="321" t="n">
        <f aca="false">R35</f>
        <v>0</v>
      </c>
      <c r="P36" s="322" t="n">
        <f aca="false">O36*$Q$18*0.5</f>
        <v>0</v>
      </c>
      <c r="Q36" s="322" t="n">
        <f aca="false">IF($Q$19&gt;=B36,0,IF(O36&gt;1,IF(ASS!$W$54=1,$Q$16/(($Q$17*2)-$Q$19),-PMT($Q$18/2,($Q$17*2-B35),O36,0)-P36),0))</f>
        <v>0</v>
      </c>
      <c r="R36" s="121" t="n">
        <f aca="false">O36-Q36</f>
        <v>0</v>
      </c>
      <c r="S36" s="321" t="n">
        <f aca="false">V35</f>
        <v>0</v>
      </c>
      <c r="T36" s="322" t="n">
        <f aca="false">S36*$U$18*0.5</f>
        <v>0</v>
      </c>
      <c r="U36" s="322" t="n">
        <f aca="false">IF($U$19&gt;=B36,0,IF(S36&gt;1,IF(ASS!$W$62=1,$U$16/(($U$17*2)-$U$19),-PMT($U$18/2,($U$17*2-B35),S36,0)-T36),0))</f>
        <v>0</v>
      </c>
      <c r="V36" s="121" t="n">
        <f aca="false">S36-U36</f>
        <v>0</v>
      </c>
      <c r="W36" s="321" t="n">
        <f aca="false">Z35</f>
        <v>0</v>
      </c>
      <c r="X36" s="322" t="n">
        <f aca="false">W36*$Y$18*0.5</f>
        <v>0</v>
      </c>
      <c r="Y36" s="322" t="n">
        <f aca="false">IF($Y$19&gt;=B36,0,IF(W36&gt;1,IF(ASS!$W$70=1,$Y$16/(($Y$17*2)-$Y$19),-PMT($Y$18/2,($Y$17*2-B35),W36,0)-X36),0))</f>
        <v>0</v>
      </c>
      <c r="Z36" s="121" t="n">
        <f aca="false">W36-Y36</f>
        <v>0</v>
      </c>
      <c r="AA36" s="322" t="n">
        <f aca="false">SUM(D35:D36,H35:H36,L35:L36,P35:P36,T35:T36,X35:X36)</f>
        <v>0</v>
      </c>
      <c r="AB36" s="121" t="n">
        <f aca="false">SUM(E35:E36,I35:I36,M35:M36,Q35:Q36,U35:U36,Y35:Y36)</f>
        <v>0</v>
      </c>
    </row>
    <row r="37" customFormat="false" ht="12.75" hidden="false" customHeight="false" outlineLevel="0" collapsed="false">
      <c r="A37" s="29" t="n">
        <f aca="false">A35+1</f>
        <v>2008</v>
      </c>
      <c r="B37" s="34" t="n">
        <f aca="false">B36+1</f>
        <v>14</v>
      </c>
      <c r="C37" s="320" t="n">
        <f aca="false">F36</f>
        <v>0</v>
      </c>
      <c r="D37" s="134" t="n">
        <f aca="false">C37*$E$18*0.5</f>
        <v>0</v>
      </c>
      <c r="E37" s="134" t="n">
        <f aca="false">IF($E$19&gt;=B37,0,IF(C37&gt;1,IF(ASS!$W$30=1,$E$16/(($E$17*2)-$E$19),-PMT($E$18/2,($E$17*2-B36),C37,0)-D37),0))</f>
        <v>0</v>
      </c>
      <c r="F37" s="118" t="n">
        <f aca="false">C37-E37</f>
        <v>0</v>
      </c>
      <c r="G37" s="320" t="n">
        <f aca="false">J36</f>
        <v>0</v>
      </c>
      <c r="H37" s="134" t="n">
        <f aca="false">G37*$I$18*0.5</f>
        <v>0</v>
      </c>
      <c r="I37" s="134" t="n">
        <f aca="false">IF($I$19&gt;=B37,0,IF(G37&gt;1,IF(ASS!$W$38=1,$I$16/(($I$17*2)-$I$19),-PMT($I$18/2,($I$17*2-B36),G37,0)-H37),0))</f>
        <v>0</v>
      </c>
      <c r="J37" s="118" t="n">
        <f aca="false">G37-I37</f>
        <v>0</v>
      </c>
      <c r="K37" s="320" t="n">
        <f aca="false">N36</f>
        <v>0</v>
      </c>
      <c r="L37" s="134" t="n">
        <f aca="false">K37*$M$18*0.5</f>
        <v>0</v>
      </c>
      <c r="M37" s="134" t="n">
        <f aca="false">IF($M$19&gt;=B37,0,IF(K37&gt;1,IF(ASS!$W$46=1,$M$16/(($M$17*2)-$M$19),-PMT($M$18/2,($M$17*2-B36),K37,0)-L37),0))</f>
        <v>0</v>
      </c>
      <c r="N37" s="118" t="n">
        <f aca="false">K37-M37</f>
        <v>0</v>
      </c>
      <c r="O37" s="320" t="n">
        <f aca="false">R36</f>
        <v>0</v>
      </c>
      <c r="P37" s="134" t="n">
        <f aca="false">O37*$Q$18*0.5</f>
        <v>0</v>
      </c>
      <c r="Q37" s="134" t="n">
        <f aca="false">IF($Q$19&gt;=B37,0,IF(O37&gt;1,IF(ASS!$W$54=1,$Q$16/(($Q$17*2)-$Q$19),-PMT($Q$18/2,($Q$17*2-B36),O37,0)-P37),0))</f>
        <v>0</v>
      </c>
      <c r="R37" s="118" t="n">
        <f aca="false">O37-Q37</f>
        <v>0</v>
      </c>
      <c r="S37" s="320" t="n">
        <f aca="false">V36</f>
        <v>0</v>
      </c>
      <c r="T37" s="134" t="n">
        <f aca="false">S37*$U$18*0.5</f>
        <v>0</v>
      </c>
      <c r="U37" s="134" t="n">
        <f aca="false">IF($U$19&gt;=B37,0,IF(S37&gt;1,IF(ASS!$W$62=1,$U$16/(($U$17*2)-$U$19),-PMT($U$18/2,($U$17*2-B36),S37,0)-T37),0))</f>
        <v>0</v>
      </c>
      <c r="V37" s="118" t="n">
        <f aca="false">S37-U37</f>
        <v>0</v>
      </c>
      <c r="W37" s="320" t="n">
        <f aca="false">Z36</f>
        <v>0</v>
      </c>
      <c r="X37" s="134" t="n">
        <f aca="false">W37*$Y$18*0.5</f>
        <v>0</v>
      </c>
      <c r="Y37" s="134" t="n">
        <f aca="false">IF($Y$19&gt;=B37,0,IF(W37&gt;1,IF(ASS!$W$70=1,$Y$16/(($Y$17*2)-$Y$19),-PMT($Y$18/2,($Y$17*2-B36),W37,0)-X37),0))</f>
        <v>0</v>
      </c>
      <c r="Z37" s="118" t="n">
        <f aca="false">W37-Y37</f>
        <v>0</v>
      </c>
      <c r="AA37" s="134"/>
      <c r="AB37" s="118"/>
    </row>
    <row r="38" customFormat="false" ht="12.75" hidden="false" customHeight="false" outlineLevel="0" collapsed="false">
      <c r="A38" s="57" t="n">
        <f aca="false">A37</f>
        <v>2008</v>
      </c>
      <c r="B38" s="60" t="n">
        <f aca="false">B37+1</f>
        <v>15</v>
      </c>
      <c r="C38" s="321" t="n">
        <f aca="false">F37</f>
        <v>0</v>
      </c>
      <c r="D38" s="322" t="n">
        <f aca="false">C38*$E$18*0.5</f>
        <v>0</v>
      </c>
      <c r="E38" s="322" t="n">
        <f aca="false">IF($E$19&gt;=B38,0,IF(C38&gt;1,IF(ASS!$W$30=1,$E$16/(($E$17*2)-$E$19),-PMT($E$18/2,($E$17*2-B37),C38,0)-D38),0))</f>
        <v>0</v>
      </c>
      <c r="F38" s="121" t="n">
        <f aca="false">C38-E38</f>
        <v>0</v>
      </c>
      <c r="G38" s="321" t="n">
        <f aca="false">J37</f>
        <v>0</v>
      </c>
      <c r="H38" s="322" t="n">
        <f aca="false">G38*$I$18*0.5</f>
        <v>0</v>
      </c>
      <c r="I38" s="322" t="n">
        <f aca="false">IF($I$19&gt;=B38,0,IF(G38&gt;1,IF(ASS!$W$38=1,$I$16/(($I$17*2)-$I$19),-PMT($I$18/2,($I$17*2-B37),G38,0)-H38),0))</f>
        <v>0</v>
      </c>
      <c r="J38" s="121" t="n">
        <f aca="false">G38-I38</f>
        <v>0</v>
      </c>
      <c r="K38" s="321" t="n">
        <f aca="false">N37</f>
        <v>0</v>
      </c>
      <c r="L38" s="322" t="n">
        <f aca="false">K38*$M$18*0.5</f>
        <v>0</v>
      </c>
      <c r="M38" s="322" t="n">
        <f aca="false">IF($M$19&gt;=B38,0,IF(K38&gt;1,IF(ASS!$W$46=1,$M$16/(($M$17*2)-$M$19),-PMT($M$18/2,($M$17*2-B37),K38,0)-L38),0))</f>
        <v>0</v>
      </c>
      <c r="N38" s="121" t="n">
        <f aca="false">K38-M38</f>
        <v>0</v>
      </c>
      <c r="O38" s="321" t="n">
        <f aca="false">R37</f>
        <v>0</v>
      </c>
      <c r="P38" s="322" t="n">
        <f aca="false">O38*$Q$18*0.5</f>
        <v>0</v>
      </c>
      <c r="Q38" s="322" t="n">
        <f aca="false">IF($Q$19&gt;=B38,0,IF(O38&gt;1,IF(ASS!$W$54=1,$Q$16/(($Q$17*2)-$Q$19),-PMT($Q$18/2,($Q$17*2-B37),O38,0)-P38),0))</f>
        <v>0</v>
      </c>
      <c r="R38" s="121" t="n">
        <f aca="false">O38-Q38</f>
        <v>0</v>
      </c>
      <c r="S38" s="321" t="n">
        <f aca="false">V37</f>
        <v>0</v>
      </c>
      <c r="T38" s="322" t="n">
        <f aca="false">S38*$U$18*0.5</f>
        <v>0</v>
      </c>
      <c r="U38" s="322" t="n">
        <f aca="false">IF($U$19&gt;=B38,0,IF(S38&gt;1,IF(ASS!$W$62=1,$U$16/(($U$17*2)-$U$19),-PMT($U$18/2,($U$17*2-B37),S38,0)-T38),0))</f>
        <v>0</v>
      </c>
      <c r="V38" s="121" t="n">
        <f aca="false">S38-U38</f>
        <v>0</v>
      </c>
      <c r="W38" s="321" t="n">
        <f aca="false">Z37</f>
        <v>0</v>
      </c>
      <c r="X38" s="322" t="n">
        <f aca="false">W38*$Y$18*0.5</f>
        <v>0</v>
      </c>
      <c r="Y38" s="322" t="n">
        <f aca="false">IF($Y$19&gt;=B38,0,IF(W38&gt;1,IF(ASS!$W$70=1,$Y$16/(($Y$17*2)-$Y$19),-PMT($Y$18/2,($Y$17*2-B37),W38,0)-X38),0))</f>
        <v>0</v>
      </c>
      <c r="Z38" s="121" t="n">
        <f aca="false">W38-Y38</f>
        <v>0</v>
      </c>
      <c r="AA38" s="322" t="n">
        <f aca="false">SUM(D37:D38,H37:H38,L37:L38,P37:P38,T37:T38,X37:X38)</f>
        <v>0</v>
      </c>
      <c r="AB38" s="121" t="n">
        <f aca="false">SUM(E37:E38,I37:I38,M37:M38,Q37:Q38,U37:U38,Y37:Y38)</f>
        <v>0</v>
      </c>
    </row>
    <row r="39" customFormat="false" ht="12.75" hidden="false" customHeight="false" outlineLevel="0" collapsed="false">
      <c r="A39" s="29" t="n">
        <f aca="false">A37+1</f>
        <v>2009</v>
      </c>
      <c r="B39" s="34" t="n">
        <f aca="false">B38+1</f>
        <v>16</v>
      </c>
      <c r="C39" s="320" t="n">
        <f aca="false">F38</f>
        <v>0</v>
      </c>
      <c r="D39" s="134" t="n">
        <f aca="false">C39*$E$18*0.5</f>
        <v>0</v>
      </c>
      <c r="E39" s="134" t="n">
        <f aca="false">IF($E$19&gt;=B39,0,IF(C39&gt;1,IF(ASS!$W$30=1,$E$16/(($E$17*2)-$E$19),-PMT($E$18/2,($E$17*2-B38),C39,0)-D39),0))</f>
        <v>0</v>
      </c>
      <c r="F39" s="118" t="n">
        <f aca="false">C39-E39</f>
        <v>0</v>
      </c>
      <c r="G39" s="320" t="n">
        <f aca="false">J38</f>
        <v>0</v>
      </c>
      <c r="H39" s="134" t="n">
        <f aca="false">G39*$I$18*0.5</f>
        <v>0</v>
      </c>
      <c r="I39" s="134" t="n">
        <f aca="false">IF($I$19&gt;=B39,0,IF(G39&gt;1,IF(ASS!$W$38=1,$I$16/(($I$17*2)-$I$19),-PMT($I$18/2,($I$17*2-B38),G39,0)-H39),0))</f>
        <v>0</v>
      </c>
      <c r="J39" s="118" t="n">
        <f aca="false">G39-I39</f>
        <v>0</v>
      </c>
      <c r="K39" s="320" t="n">
        <f aca="false">N38</f>
        <v>0</v>
      </c>
      <c r="L39" s="134" t="n">
        <f aca="false">K39*$M$18*0.5</f>
        <v>0</v>
      </c>
      <c r="M39" s="134" t="n">
        <f aca="false">IF($M$19&gt;=B39,0,IF(K39&gt;1,IF(ASS!$W$46=1,$M$16/(($M$17*2)-$M$19),-PMT($M$18/2,($M$17*2-B38),K39,0)-L39),0))</f>
        <v>0</v>
      </c>
      <c r="N39" s="118" t="n">
        <f aca="false">K39-M39</f>
        <v>0</v>
      </c>
      <c r="O39" s="320" t="n">
        <f aca="false">R38</f>
        <v>0</v>
      </c>
      <c r="P39" s="134" t="n">
        <f aca="false">O39*$Q$18*0.5</f>
        <v>0</v>
      </c>
      <c r="Q39" s="134" t="n">
        <f aca="false">IF($Q$19&gt;=B39,0,IF(O39&gt;1,IF(ASS!$W$54=1,$Q$16/(($Q$17*2)-$Q$19),-PMT($Q$18/2,($Q$17*2-B38),O39,0)-P39),0))</f>
        <v>0</v>
      </c>
      <c r="R39" s="118" t="n">
        <f aca="false">O39-Q39</f>
        <v>0</v>
      </c>
      <c r="S39" s="320" t="n">
        <f aca="false">V38</f>
        <v>0</v>
      </c>
      <c r="T39" s="134" t="n">
        <f aca="false">S39*$U$18*0.5</f>
        <v>0</v>
      </c>
      <c r="U39" s="134" t="n">
        <f aca="false">IF($U$19&gt;=B39,0,IF(S39&gt;1,IF(ASS!$W$62=1,$U$16/(($U$17*2)-$U$19),-PMT($U$18/2,($U$17*2-B38),S39,0)-T39),0))</f>
        <v>0</v>
      </c>
      <c r="V39" s="118" t="n">
        <f aca="false">S39-U39</f>
        <v>0</v>
      </c>
      <c r="W39" s="320" t="n">
        <f aca="false">Z38</f>
        <v>0</v>
      </c>
      <c r="X39" s="134" t="n">
        <f aca="false">W39*$Y$18*0.5</f>
        <v>0</v>
      </c>
      <c r="Y39" s="134" t="n">
        <f aca="false">IF($Y$19&gt;=B39,0,IF(W39&gt;1,IF(ASS!$W$70=1,$Y$16/(($Y$17*2)-$Y$19),-PMT($Y$18/2,($Y$17*2-B38),W39,0)-X39),0))</f>
        <v>0</v>
      </c>
      <c r="Z39" s="118" t="n">
        <f aca="false">W39-Y39</f>
        <v>0</v>
      </c>
      <c r="AA39" s="134"/>
      <c r="AB39" s="118"/>
    </row>
    <row r="40" customFormat="false" ht="12.75" hidden="false" customHeight="false" outlineLevel="0" collapsed="false">
      <c r="A40" s="57" t="n">
        <f aca="false">A39</f>
        <v>2009</v>
      </c>
      <c r="B40" s="60" t="n">
        <f aca="false">B39+1</f>
        <v>17</v>
      </c>
      <c r="C40" s="321" t="n">
        <f aca="false">F39</f>
        <v>0</v>
      </c>
      <c r="D40" s="322" t="n">
        <f aca="false">C40*$E$18*0.5</f>
        <v>0</v>
      </c>
      <c r="E40" s="322" t="n">
        <f aca="false">IF($E$19&gt;=B40,0,IF(C40&gt;1,IF(ASS!$W$30=1,$E$16/(($E$17*2)-$E$19),-PMT($E$18/2,($E$17*2-B39),C40,0)-D40),0))</f>
        <v>0</v>
      </c>
      <c r="F40" s="121" t="n">
        <f aca="false">C40-E40</f>
        <v>0</v>
      </c>
      <c r="G40" s="321" t="n">
        <f aca="false">J39</f>
        <v>0</v>
      </c>
      <c r="H40" s="322" t="n">
        <f aca="false">G40*$I$18*0.5</f>
        <v>0</v>
      </c>
      <c r="I40" s="322" t="n">
        <f aca="false">IF($I$19&gt;=B40,0,IF(G40&gt;1,IF(ASS!$W$38=1,$I$16/(($I$17*2)-$I$19),-PMT($I$18/2,($I$17*2-B39),G40,0)-H40),0))</f>
        <v>0</v>
      </c>
      <c r="J40" s="121" t="n">
        <f aca="false">G40-I40</f>
        <v>0</v>
      </c>
      <c r="K40" s="321" t="n">
        <f aca="false">N39</f>
        <v>0</v>
      </c>
      <c r="L40" s="322" t="n">
        <f aca="false">K40*$M$18*0.5</f>
        <v>0</v>
      </c>
      <c r="M40" s="322" t="n">
        <f aca="false">IF($M$19&gt;=B40,0,IF(K40&gt;1,IF(ASS!$W$46=1,$M$16/(($M$17*2)-$M$19),-PMT($M$18/2,($M$17*2-B39),K40,0)-L40),0))</f>
        <v>0</v>
      </c>
      <c r="N40" s="121" t="n">
        <f aca="false">K40-M40</f>
        <v>0</v>
      </c>
      <c r="O40" s="321" t="n">
        <f aca="false">R39</f>
        <v>0</v>
      </c>
      <c r="P40" s="322" t="n">
        <f aca="false">O40*$Q$18*0.5</f>
        <v>0</v>
      </c>
      <c r="Q40" s="322" t="n">
        <f aca="false">IF($Q$19&gt;=B40,0,IF(O40&gt;1,IF(ASS!$W$54=1,$Q$16/(($Q$17*2)-$Q$19),-PMT($Q$18/2,($Q$17*2-B39),O40,0)-P40),0))</f>
        <v>0</v>
      </c>
      <c r="R40" s="121" t="n">
        <f aca="false">O40-Q40</f>
        <v>0</v>
      </c>
      <c r="S40" s="321" t="n">
        <f aca="false">V39</f>
        <v>0</v>
      </c>
      <c r="T40" s="322" t="n">
        <f aca="false">S40*$U$18*0.5</f>
        <v>0</v>
      </c>
      <c r="U40" s="322" t="n">
        <f aca="false">IF($U$19&gt;=B40,0,IF(S40&gt;1,IF(ASS!$W$62=1,$U$16/(($U$17*2)-$U$19),-PMT($U$18/2,($U$17*2-B39),S40,0)-T40),0))</f>
        <v>0</v>
      </c>
      <c r="V40" s="121" t="n">
        <f aca="false">S40-U40</f>
        <v>0</v>
      </c>
      <c r="W40" s="321" t="n">
        <f aca="false">Z39</f>
        <v>0</v>
      </c>
      <c r="X40" s="322" t="n">
        <f aca="false">W40*$Y$18*0.5</f>
        <v>0</v>
      </c>
      <c r="Y40" s="322" t="n">
        <f aca="false">IF($Y$19&gt;=B40,0,IF(W40&gt;1,IF(ASS!$W$70=1,$Y$16/(($Y$17*2)-$Y$19),-PMT($Y$18/2,($Y$17*2-B39),W40,0)-X40),0))</f>
        <v>0</v>
      </c>
      <c r="Z40" s="121" t="n">
        <f aca="false">W40-Y40</f>
        <v>0</v>
      </c>
      <c r="AA40" s="322" t="n">
        <f aca="false">SUM(D39:D40,H39:H40,L39:L40,P39:P40,T39:T40,X39:X40)</f>
        <v>0</v>
      </c>
      <c r="AB40" s="121" t="n">
        <f aca="false">SUM(E39:E40,I39:I40,M39:M40,Q39:Q40,U39:U40,Y39:Y40)</f>
        <v>0</v>
      </c>
    </row>
    <row r="41" customFormat="false" ht="12.75" hidden="false" customHeight="false" outlineLevel="0" collapsed="false">
      <c r="A41" s="29" t="n">
        <f aca="false">A39+1</f>
        <v>2010</v>
      </c>
      <c r="B41" s="34" t="n">
        <f aca="false">B40+1</f>
        <v>18</v>
      </c>
      <c r="C41" s="320" t="n">
        <f aca="false">F40</f>
        <v>0</v>
      </c>
      <c r="D41" s="134" t="n">
        <f aca="false">C41*$E$18*0.5</f>
        <v>0</v>
      </c>
      <c r="E41" s="134" t="n">
        <f aca="false">IF($E$19&gt;=B41,0,IF(C41&gt;1,IF(ASS!$W$30=1,$E$16/(($E$17*2)-$E$19),-PMT($E$18/2,($E$17*2-B40),C41,0)-D41),0))</f>
        <v>0</v>
      </c>
      <c r="F41" s="118" t="n">
        <f aca="false">C41-E41</f>
        <v>0</v>
      </c>
      <c r="G41" s="320" t="n">
        <f aca="false">J40</f>
        <v>0</v>
      </c>
      <c r="H41" s="134" t="n">
        <f aca="false">G41*$I$18*0.5</f>
        <v>0</v>
      </c>
      <c r="I41" s="134" t="n">
        <f aca="false">IF($I$19&gt;=B41,0,IF(G41&gt;1,IF(ASS!$W$38=1,$I$16/(($I$17*2)-$I$19),-PMT($I$18/2,($I$17*2-B40),G41,0)-H41),0))</f>
        <v>0</v>
      </c>
      <c r="J41" s="118" t="n">
        <f aca="false">G41-I41</f>
        <v>0</v>
      </c>
      <c r="K41" s="320" t="n">
        <f aca="false">N40</f>
        <v>0</v>
      </c>
      <c r="L41" s="134" t="n">
        <f aca="false">K41*$M$18*0.5</f>
        <v>0</v>
      </c>
      <c r="M41" s="134" t="n">
        <f aca="false">IF($M$19&gt;=B41,0,IF(K41&gt;1,IF(ASS!$W$46=1,$M$16/(($M$17*2)-$M$19),-PMT($M$18/2,($M$17*2-B40),K41,0)-L41),0))</f>
        <v>0</v>
      </c>
      <c r="N41" s="118" t="n">
        <f aca="false">K41-M41</f>
        <v>0</v>
      </c>
      <c r="O41" s="320" t="n">
        <f aca="false">R40</f>
        <v>0</v>
      </c>
      <c r="P41" s="134" t="n">
        <f aca="false">O41*$Q$18*0.5</f>
        <v>0</v>
      </c>
      <c r="Q41" s="134" t="n">
        <f aca="false">IF($Q$19&gt;=B41,0,IF(O41&gt;1,IF(ASS!$W$54=1,$Q$16/(($Q$17*2)-$Q$19),-PMT($Q$18/2,($Q$17*2-B40),O41,0)-P41),0))</f>
        <v>0</v>
      </c>
      <c r="R41" s="118" t="n">
        <f aca="false">O41-Q41</f>
        <v>0</v>
      </c>
      <c r="S41" s="320" t="n">
        <f aca="false">V40</f>
        <v>0</v>
      </c>
      <c r="T41" s="134" t="n">
        <f aca="false">S41*$U$18*0.5</f>
        <v>0</v>
      </c>
      <c r="U41" s="134" t="n">
        <f aca="false">IF($U$19&gt;=B41,0,IF(S41&gt;1,IF(ASS!$W$62=1,$U$16/(($U$17*2)-$U$19),-PMT($U$18/2,($U$17*2-B40),S41,0)-T41),0))</f>
        <v>0</v>
      </c>
      <c r="V41" s="118" t="n">
        <f aca="false">S41-U41</f>
        <v>0</v>
      </c>
      <c r="W41" s="320" t="n">
        <f aca="false">Z40</f>
        <v>0</v>
      </c>
      <c r="X41" s="134" t="n">
        <f aca="false">W41*$Y$18*0.5</f>
        <v>0</v>
      </c>
      <c r="Y41" s="134" t="n">
        <f aca="false">IF($Y$19&gt;=B41,0,IF(W41&gt;1,IF(ASS!$W$70=1,$Y$16/(($Y$17*2)-$Y$19),-PMT($Y$18/2,($Y$17*2-B40),W41,0)-X41),0))</f>
        <v>0</v>
      </c>
      <c r="Z41" s="118" t="n">
        <f aca="false">W41-Y41</f>
        <v>0</v>
      </c>
      <c r="AA41" s="134"/>
      <c r="AB41" s="118"/>
    </row>
    <row r="42" customFormat="false" ht="12.75" hidden="false" customHeight="false" outlineLevel="0" collapsed="false">
      <c r="A42" s="57" t="n">
        <f aca="false">A41</f>
        <v>2010</v>
      </c>
      <c r="B42" s="60" t="n">
        <f aca="false">B41+1</f>
        <v>19</v>
      </c>
      <c r="C42" s="321" t="n">
        <f aca="false">F41</f>
        <v>0</v>
      </c>
      <c r="D42" s="322" t="n">
        <f aca="false">C42*$E$18*0.5</f>
        <v>0</v>
      </c>
      <c r="E42" s="322" t="n">
        <f aca="false">IF($E$19&gt;=B42,0,IF(C42&gt;1,IF(ASS!$W$30=1,$E$16/(($E$17*2)-$E$19),-PMT($E$18/2,($E$17*2-B41),C42,0)-D42),0))</f>
        <v>0</v>
      </c>
      <c r="F42" s="121" t="n">
        <f aca="false">C42-E42</f>
        <v>0</v>
      </c>
      <c r="G42" s="321" t="n">
        <f aca="false">J41</f>
        <v>0</v>
      </c>
      <c r="H42" s="322" t="n">
        <f aca="false">G42*$I$18*0.5</f>
        <v>0</v>
      </c>
      <c r="I42" s="322" t="n">
        <f aca="false">IF($I$19&gt;=B42,0,IF(G42&gt;1,IF(ASS!$W$38=1,$I$16/(($I$17*2)-$I$19),-PMT($I$18/2,($I$17*2-B41),G42,0)-H42),0))</f>
        <v>0</v>
      </c>
      <c r="J42" s="121" t="n">
        <f aca="false">G42-I42</f>
        <v>0</v>
      </c>
      <c r="K42" s="321" t="n">
        <f aca="false">N41</f>
        <v>0</v>
      </c>
      <c r="L42" s="322" t="n">
        <f aca="false">K42*$M$18*0.5</f>
        <v>0</v>
      </c>
      <c r="M42" s="322" t="n">
        <f aca="false">IF($M$19&gt;=B42,0,IF(K42&gt;1,IF(ASS!$W$46=1,$M$16/(($M$17*2)-$M$19),-PMT($M$18/2,($M$17*2-B41),K42,0)-L42),0))</f>
        <v>0</v>
      </c>
      <c r="N42" s="121" t="n">
        <f aca="false">K42-M42</f>
        <v>0</v>
      </c>
      <c r="O42" s="321" t="n">
        <f aca="false">R41</f>
        <v>0</v>
      </c>
      <c r="P42" s="322" t="n">
        <f aca="false">O42*$Q$18*0.5</f>
        <v>0</v>
      </c>
      <c r="Q42" s="322" t="n">
        <f aca="false">IF($Q$19&gt;=B42,0,IF(O42&gt;1,IF(ASS!$W$54=1,$Q$16/(($Q$17*2)-$Q$19),-PMT($Q$18/2,($Q$17*2-B41),O42,0)-P42),0))</f>
        <v>0</v>
      </c>
      <c r="R42" s="121" t="n">
        <f aca="false">O42-Q42</f>
        <v>0</v>
      </c>
      <c r="S42" s="321" t="n">
        <f aca="false">V41</f>
        <v>0</v>
      </c>
      <c r="T42" s="322" t="n">
        <f aca="false">S42*$U$18*0.5</f>
        <v>0</v>
      </c>
      <c r="U42" s="322" t="n">
        <f aca="false">IF($U$19&gt;=B42,0,IF(S42&gt;1,IF(ASS!$W$62=1,$U$16/(($U$17*2)-$U$19),-PMT($U$18/2,($U$17*2-B41),S42,0)-T42),0))</f>
        <v>0</v>
      </c>
      <c r="V42" s="121" t="n">
        <f aca="false">S42-U42</f>
        <v>0</v>
      </c>
      <c r="W42" s="321" t="n">
        <f aca="false">Z41</f>
        <v>0</v>
      </c>
      <c r="X42" s="322" t="n">
        <f aca="false">W42*$Y$18*0.5</f>
        <v>0</v>
      </c>
      <c r="Y42" s="322" t="n">
        <f aca="false">IF($Y$19&gt;=B42,0,IF(W42&gt;1,IF(ASS!$W$70=1,$Y$16/(($Y$17*2)-$Y$19),-PMT($Y$18/2,($Y$17*2-B41),W42,0)-X42),0))</f>
        <v>0</v>
      </c>
      <c r="Z42" s="121" t="n">
        <f aca="false">W42-Y42</f>
        <v>0</v>
      </c>
      <c r="AA42" s="322" t="n">
        <f aca="false">SUM(D41:D42,H41:H42,L41:L42,P41:P42,T41:T42,X41:X42)</f>
        <v>0</v>
      </c>
      <c r="AB42" s="121" t="n">
        <f aca="false">SUM(E41:E42,I41:I42,M41:M42,Q41:Q42,U41:U42,Y41:Y42)</f>
        <v>0</v>
      </c>
    </row>
    <row r="43" customFormat="false" ht="12.75" hidden="false" customHeight="false" outlineLevel="0" collapsed="false">
      <c r="A43" s="29" t="n">
        <f aca="false">A41+1</f>
        <v>2011</v>
      </c>
      <c r="B43" s="34" t="n">
        <f aca="false">B42+1</f>
        <v>20</v>
      </c>
      <c r="C43" s="320" t="n">
        <f aca="false">F42</f>
        <v>0</v>
      </c>
      <c r="D43" s="134" t="n">
        <f aca="false">C43*$E$18*0.5</f>
        <v>0</v>
      </c>
      <c r="E43" s="134" t="n">
        <f aca="false">IF($E$19&gt;=B43,0,IF(C43&gt;1,IF(ASS!$W$30=1,$E$16/(($E$17*2)-$E$19),-PMT($E$18/2,($E$17*2-B42),C43,0)-D43),0))</f>
        <v>0</v>
      </c>
      <c r="F43" s="118" t="n">
        <f aca="false">C43-E43</f>
        <v>0</v>
      </c>
      <c r="G43" s="320" t="n">
        <f aca="false">J42</f>
        <v>0</v>
      </c>
      <c r="H43" s="134" t="n">
        <f aca="false">G43*$I$18*0.5</f>
        <v>0</v>
      </c>
      <c r="I43" s="134" t="n">
        <f aca="false">IF($I$19&gt;=B43,0,IF(G43&gt;1,IF(ASS!$W$38=1,$I$16/(($I$17*2)-$I$19),-PMT($I$18/2,($I$17*2-B42),G43,0)-H43),0))</f>
        <v>0</v>
      </c>
      <c r="J43" s="118" t="n">
        <f aca="false">G43-I43</f>
        <v>0</v>
      </c>
      <c r="K43" s="320" t="n">
        <f aca="false">N42</f>
        <v>0</v>
      </c>
      <c r="L43" s="134" t="n">
        <f aca="false">K43*$M$18*0.5</f>
        <v>0</v>
      </c>
      <c r="M43" s="134" t="n">
        <f aca="false">IF($M$19&gt;=B43,0,IF(K43&gt;1,IF(ASS!$W$46=1,$M$16/(($M$17*2)-$M$19),-PMT($M$18/2,($M$17*2-B42),K43,0)-L43),0))</f>
        <v>0</v>
      </c>
      <c r="N43" s="118" t="n">
        <f aca="false">K43-M43</f>
        <v>0</v>
      </c>
      <c r="O43" s="320" t="n">
        <f aca="false">R42</f>
        <v>0</v>
      </c>
      <c r="P43" s="134" t="n">
        <f aca="false">O43*$Q$18*0.5</f>
        <v>0</v>
      </c>
      <c r="Q43" s="134" t="n">
        <f aca="false">IF($Q$19&gt;=B43,0,IF(O43&gt;1,IF(ASS!$W$54=1,$Q$16/(($Q$17*2)-$Q$19),-PMT($Q$18/2,($Q$17*2-B42),O43,0)-P43),0))</f>
        <v>0</v>
      </c>
      <c r="R43" s="118" t="n">
        <f aca="false">O43-Q43</f>
        <v>0</v>
      </c>
      <c r="S43" s="320" t="n">
        <f aca="false">V42</f>
        <v>0</v>
      </c>
      <c r="T43" s="134" t="n">
        <f aca="false">S43*$U$18*0.5</f>
        <v>0</v>
      </c>
      <c r="U43" s="134" t="n">
        <f aca="false">IF($U$19&gt;=B43,0,IF(S43&gt;1,IF(ASS!$W$62=1,$U$16/(($U$17*2)-$U$19),-PMT($U$18/2,($U$17*2-B42),S43,0)-T43),0))</f>
        <v>0</v>
      </c>
      <c r="V43" s="118" t="n">
        <f aca="false">S43-U43</f>
        <v>0</v>
      </c>
      <c r="W43" s="320" t="n">
        <f aca="false">Z42</f>
        <v>0</v>
      </c>
      <c r="X43" s="134" t="n">
        <f aca="false">W43*$Y$18*0.5</f>
        <v>0</v>
      </c>
      <c r="Y43" s="134" t="n">
        <f aca="false">IF($Y$19&gt;=B43,0,IF(W43&gt;1,IF(ASS!$W$70=1,$Y$16/(($Y$17*2)-$Y$19),-PMT($Y$18/2,($Y$17*2-B42),W43,0)-X43),0))</f>
        <v>0</v>
      </c>
      <c r="Z43" s="118" t="n">
        <f aca="false">W43-Y43</f>
        <v>0</v>
      </c>
      <c r="AA43" s="134"/>
      <c r="AB43" s="118"/>
    </row>
    <row r="44" customFormat="false" ht="12.75" hidden="false" customHeight="false" outlineLevel="0" collapsed="false">
      <c r="A44" s="57" t="n">
        <f aca="false">A43</f>
        <v>2011</v>
      </c>
      <c r="B44" s="60" t="n">
        <f aca="false">B43+1</f>
        <v>21</v>
      </c>
      <c r="C44" s="321" t="n">
        <f aca="false">F43</f>
        <v>0</v>
      </c>
      <c r="D44" s="322" t="n">
        <f aca="false">C44*$E$18*0.5</f>
        <v>0</v>
      </c>
      <c r="E44" s="322" t="n">
        <f aca="false">IF($E$19&gt;=B44,0,IF(C44&gt;1,IF(ASS!$W$30=1,$E$16/(($E$17*2)-$E$19),-PMT($E$18/2,($E$17*2-B43),C44,0)-D44),0))</f>
        <v>0</v>
      </c>
      <c r="F44" s="121" t="n">
        <f aca="false">C44-E44</f>
        <v>0</v>
      </c>
      <c r="G44" s="321" t="n">
        <f aca="false">J43</f>
        <v>0</v>
      </c>
      <c r="H44" s="322" t="n">
        <f aca="false">G44*$I$18*0.5</f>
        <v>0</v>
      </c>
      <c r="I44" s="322" t="n">
        <f aca="false">IF($I$19&gt;=B44,0,IF(G44&gt;1,IF(ASS!$W$38=1,$I$16/(($I$17*2)-$I$19),-PMT($I$18/2,($I$17*2-B43),G44,0)-H44),0))</f>
        <v>0</v>
      </c>
      <c r="J44" s="121" t="n">
        <f aca="false">G44-I44</f>
        <v>0</v>
      </c>
      <c r="K44" s="321" t="n">
        <f aca="false">N43</f>
        <v>0</v>
      </c>
      <c r="L44" s="322" t="n">
        <f aca="false">K44*$M$18*0.5</f>
        <v>0</v>
      </c>
      <c r="M44" s="322" t="n">
        <f aca="false">IF($M$19&gt;=B44,0,IF(K44&gt;1,IF(ASS!$W$46=1,$M$16/(($M$17*2)-$M$19),-PMT($M$18/2,($M$17*2-B43),K44,0)-L44),0))</f>
        <v>0</v>
      </c>
      <c r="N44" s="121" t="n">
        <f aca="false">K44-M44</f>
        <v>0</v>
      </c>
      <c r="O44" s="321" t="n">
        <f aca="false">R43</f>
        <v>0</v>
      </c>
      <c r="P44" s="322" t="n">
        <f aca="false">O44*$Q$18*0.5</f>
        <v>0</v>
      </c>
      <c r="Q44" s="322" t="n">
        <f aca="false">IF($Q$19&gt;=B44,0,IF(O44&gt;1,IF(ASS!$W$54=1,$Q$16/(($Q$17*2)-$Q$19),-PMT($Q$18/2,($Q$17*2-B43),O44,0)-P44),0))</f>
        <v>0</v>
      </c>
      <c r="R44" s="121" t="n">
        <f aca="false">O44-Q44</f>
        <v>0</v>
      </c>
      <c r="S44" s="321" t="n">
        <f aca="false">V43</f>
        <v>0</v>
      </c>
      <c r="T44" s="322" t="n">
        <f aca="false">S44*$U$18*0.5</f>
        <v>0</v>
      </c>
      <c r="U44" s="322" t="n">
        <f aca="false">IF($U$19&gt;=B44,0,IF(S44&gt;1,IF(ASS!$W$62=1,$U$16/(($U$17*2)-$U$19),-PMT($U$18/2,($U$17*2-B43),S44,0)-T44),0))</f>
        <v>0</v>
      </c>
      <c r="V44" s="121" t="n">
        <f aca="false">S44-U44</f>
        <v>0</v>
      </c>
      <c r="W44" s="321" t="n">
        <f aca="false">Z43</f>
        <v>0</v>
      </c>
      <c r="X44" s="322" t="n">
        <f aca="false">W44*$Y$18*0.5</f>
        <v>0</v>
      </c>
      <c r="Y44" s="322" t="n">
        <f aca="false">IF($Y$19&gt;=B44,0,IF(W44&gt;1,IF(ASS!$W$70=1,$Y$16/(($Y$17*2)-$Y$19),-PMT($Y$18/2,($Y$17*2-B43),W44,0)-X44),0))</f>
        <v>0</v>
      </c>
      <c r="Z44" s="121" t="n">
        <f aca="false">W44-Y44</f>
        <v>0</v>
      </c>
      <c r="AA44" s="322" t="n">
        <f aca="false">SUM(D43:D44,H43:H44,L43:L44,P43:P44,T43:T44,X43:X44)</f>
        <v>0</v>
      </c>
      <c r="AB44" s="121" t="n">
        <f aca="false">SUM(E43:E44,I43:I44,M43:M44,Q43:Q44,U43:U44,Y43:Y44)</f>
        <v>0</v>
      </c>
    </row>
    <row r="45" customFormat="false" ht="12.75" hidden="false" customHeight="false" outlineLevel="0" collapsed="false">
      <c r="A45" s="29" t="n">
        <f aca="false">A43+1</f>
        <v>2012</v>
      </c>
      <c r="B45" s="34" t="n">
        <f aca="false">B44+1</f>
        <v>22</v>
      </c>
      <c r="C45" s="320" t="n">
        <f aca="false">F44</f>
        <v>0</v>
      </c>
      <c r="D45" s="134" t="n">
        <f aca="false">C45*$E$18*0.5</f>
        <v>0</v>
      </c>
      <c r="E45" s="134" t="n">
        <f aca="false">IF($E$19&gt;=B45,0,IF(C45&gt;1,IF(ASS!$W$30=1,$E$16/(($E$17*2)-$E$19),-PMT($E$18/2,($E$17*2-B44),C45,0)-D45),0))</f>
        <v>0</v>
      </c>
      <c r="F45" s="118" t="n">
        <f aca="false">C45-E45</f>
        <v>0</v>
      </c>
      <c r="G45" s="320" t="n">
        <f aca="false">J44</f>
        <v>0</v>
      </c>
      <c r="H45" s="134" t="n">
        <f aca="false">G45*$I$18*0.5</f>
        <v>0</v>
      </c>
      <c r="I45" s="134" t="n">
        <f aca="false">IF($I$19&gt;=B45,0,IF(G45&gt;1,IF(ASS!$W$38=1,$I$16/(($I$17*2)-$I$19),-PMT($I$18/2,($I$17*2-B44),G45,0)-H45),0))</f>
        <v>0</v>
      </c>
      <c r="J45" s="118" t="n">
        <f aca="false">G45-I45</f>
        <v>0</v>
      </c>
      <c r="K45" s="320" t="n">
        <f aca="false">N44</f>
        <v>0</v>
      </c>
      <c r="L45" s="134" t="n">
        <f aca="false">K45*$M$18*0.5</f>
        <v>0</v>
      </c>
      <c r="M45" s="134" t="n">
        <f aca="false">IF($M$19&gt;=B45,0,IF(K45&gt;1,IF(ASS!$W$46=1,$M$16/(($M$17*2)-$M$19),-PMT($M$18/2,($M$17*2-B44),K45,0)-L45),0))</f>
        <v>0</v>
      </c>
      <c r="N45" s="118" t="n">
        <f aca="false">K45-M45</f>
        <v>0</v>
      </c>
      <c r="O45" s="320" t="n">
        <f aca="false">R44</f>
        <v>0</v>
      </c>
      <c r="P45" s="134" t="n">
        <f aca="false">O45*$Q$18*0.5</f>
        <v>0</v>
      </c>
      <c r="Q45" s="134" t="n">
        <f aca="false">IF($Q$19&gt;=B45,0,IF(O45&gt;1,IF(ASS!$W$54=1,$Q$16/(($Q$17*2)-$Q$19),-PMT($Q$18/2,($Q$17*2-B44),O45,0)-P45),0))</f>
        <v>0</v>
      </c>
      <c r="R45" s="118" t="n">
        <f aca="false">O45-Q45</f>
        <v>0</v>
      </c>
      <c r="S45" s="320" t="n">
        <f aca="false">V44</f>
        <v>0</v>
      </c>
      <c r="T45" s="134" t="n">
        <f aca="false">S45*$U$18*0.5</f>
        <v>0</v>
      </c>
      <c r="U45" s="134" t="n">
        <f aca="false">IF($U$19&gt;=B45,0,IF(S45&gt;1,IF(ASS!$W$62=1,$U$16/(($U$17*2)-$U$19),-PMT($U$18/2,($U$17*2-B44),S45,0)-T45),0))</f>
        <v>0</v>
      </c>
      <c r="V45" s="118" t="n">
        <f aca="false">S45-U45</f>
        <v>0</v>
      </c>
      <c r="W45" s="320" t="n">
        <f aca="false">Z44</f>
        <v>0</v>
      </c>
      <c r="X45" s="134" t="n">
        <f aca="false">W45*$Y$18*0.5</f>
        <v>0</v>
      </c>
      <c r="Y45" s="134" t="n">
        <f aca="false">IF($Y$19&gt;=B45,0,IF(W45&gt;1,IF(ASS!$W$70=1,$Y$16/(($Y$17*2)-$Y$19),-PMT($Y$18/2,($Y$17*2-B44),W45,0)-X45),0))</f>
        <v>0</v>
      </c>
      <c r="Z45" s="118" t="n">
        <f aca="false">W45-Y45</f>
        <v>0</v>
      </c>
      <c r="AA45" s="134"/>
      <c r="AB45" s="118"/>
    </row>
    <row r="46" customFormat="false" ht="12.75" hidden="false" customHeight="false" outlineLevel="0" collapsed="false">
      <c r="A46" s="57" t="n">
        <f aca="false">A45</f>
        <v>2012</v>
      </c>
      <c r="B46" s="60" t="n">
        <f aca="false">B45+1</f>
        <v>23</v>
      </c>
      <c r="C46" s="321" t="n">
        <f aca="false">F45</f>
        <v>0</v>
      </c>
      <c r="D46" s="322" t="n">
        <f aca="false">C46*$E$18*0.5</f>
        <v>0</v>
      </c>
      <c r="E46" s="322" t="n">
        <f aca="false">IF($E$19&gt;=B46,0,IF(C46&gt;1,IF(ASS!$W$30=1,$E$16/(($E$17*2)-$E$19),-PMT($E$18/2,($E$17*2-B45),C46,0)-D46),0))</f>
        <v>0</v>
      </c>
      <c r="F46" s="121" t="n">
        <f aca="false">C46-E46</f>
        <v>0</v>
      </c>
      <c r="G46" s="321" t="n">
        <f aca="false">J45</f>
        <v>0</v>
      </c>
      <c r="H46" s="322" t="n">
        <f aca="false">G46*$I$18*0.5</f>
        <v>0</v>
      </c>
      <c r="I46" s="322" t="n">
        <f aca="false">IF($I$19&gt;=B46,0,IF(G46&gt;1,IF(ASS!$W$38=1,$I$16/(($I$17*2)-$I$19),-PMT($I$18/2,($I$17*2-B45),G46,0)-H46),0))</f>
        <v>0</v>
      </c>
      <c r="J46" s="121" t="n">
        <f aca="false">G46-I46</f>
        <v>0</v>
      </c>
      <c r="K46" s="321" t="n">
        <f aca="false">N45</f>
        <v>0</v>
      </c>
      <c r="L46" s="322" t="n">
        <f aca="false">K46*$M$18*0.5</f>
        <v>0</v>
      </c>
      <c r="M46" s="322" t="n">
        <f aca="false">IF($M$19&gt;=B46,0,IF(K46&gt;1,IF(ASS!$W$46=1,$M$16/(($M$17*2)-$M$19),-PMT($M$18/2,($M$17*2-B45),K46,0)-L46),0))</f>
        <v>0</v>
      </c>
      <c r="N46" s="121" t="n">
        <f aca="false">K46-M46</f>
        <v>0</v>
      </c>
      <c r="O46" s="321" t="n">
        <f aca="false">R45</f>
        <v>0</v>
      </c>
      <c r="P46" s="322" t="n">
        <f aca="false">O46*$Q$18*0.5</f>
        <v>0</v>
      </c>
      <c r="Q46" s="322" t="n">
        <f aca="false">IF($Q$19&gt;=B46,0,IF(O46&gt;1,IF(ASS!$W$54=1,$Q$16/(($Q$17*2)-$Q$19),-PMT($Q$18/2,($Q$17*2-B45),O46,0)-P46),0))</f>
        <v>0</v>
      </c>
      <c r="R46" s="121" t="n">
        <f aca="false">O46-Q46</f>
        <v>0</v>
      </c>
      <c r="S46" s="321" t="n">
        <f aca="false">V45</f>
        <v>0</v>
      </c>
      <c r="T46" s="322" t="n">
        <f aca="false">S46*$U$18*0.5</f>
        <v>0</v>
      </c>
      <c r="U46" s="322" t="n">
        <f aca="false">IF($U$19&gt;=B46,0,IF(S46&gt;1,IF(ASS!$W$62=1,$U$16/(($U$17*2)-$U$19),-PMT($U$18/2,($U$17*2-B45),S46,0)-T46),0))</f>
        <v>0</v>
      </c>
      <c r="V46" s="121" t="n">
        <f aca="false">S46-U46</f>
        <v>0</v>
      </c>
      <c r="W46" s="321" t="n">
        <f aca="false">Z45</f>
        <v>0</v>
      </c>
      <c r="X46" s="322" t="n">
        <f aca="false">W46*$Y$18*0.5</f>
        <v>0</v>
      </c>
      <c r="Y46" s="322" t="n">
        <f aca="false">IF($Y$19&gt;=B46,0,IF(W46&gt;1,IF(ASS!$W$70=1,$Y$16/(($Y$17*2)-$Y$19),-PMT($Y$18/2,($Y$17*2-B45),W46,0)-X46),0))</f>
        <v>0</v>
      </c>
      <c r="Z46" s="121" t="n">
        <f aca="false">W46-Y46</f>
        <v>0</v>
      </c>
      <c r="AA46" s="322" t="n">
        <f aca="false">SUM(D45:D46,H45:H46,L45:L46,P45:P46,T45:T46,X45:X46)</f>
        <v>0</v>
      </c>
      <c r="AB46" s="121" t="n">
        <f aca="false">SUM(E45:E46,I45:I46,M45:M46,Q45:Q46,U45:U46,Y45:Y46)</f>
        <v>0</v>
      </c>
    </row>
    <row r="47" customFormat="false" ht="12.75" hidden="false" customHeight="false" outlineLevel="0" collapsed="false">
      <c r="A47" s="29" t="n">
        <f aca="false">A45+1</f>
        <v>2013</v>
      </c>
      <c r="B47" s="34" t="n">
        <f aca="false">B46+1</f>
        <v>24</v>
      </c>
      <c r="C47" s="320" t="n">
        <f aca="false">F46</f>
        <v>0</v>
      </c>
      <c r="D47" s="134" t="n">
        <f aca="false">C47*$E$18*0.5</f>
        <v>0</v>
      </c>
      <c r="E47" s="134" t="n">
        <f aca="false">IF($E$19&gt;=B47,0,IF(C47&gt;1,IF(ASS!$W$30=1,$E$16/(($E$17*2)-$E$19),-PMT($E$18/2,($E$17*2-B46),C47,0)-D47),0))</f>
        <v>0</v>
      </c>
      <c r="F47" s="118" t="n">
        <f aca="false">C47-E47</f>
        <v>0</v>
      </c>
      <c r="G47" s="320" t="n">
        <f aca="false">J46</f>
        <v>0</v>
      </c>
      <c r="H47" s="134" t="n">
        <f aca="false">G47*$I$18*0.5</f>
        <v>0</v>
      </c>
      <c r="I47" s="134" t="n">
        <f aca="false">IF($I$19&gt;=B47,0,IF(G47&gt;1,IF(ASS!$W$38=1,$I$16/(($I$17*2)-$I$19),-PMT($I$18/2,($I$17*2-B46),G47,0)-H47),0))</f>
        <v>0</v>
      </c>
      <c r="J47" s="118" t="n">
        <f aca="false">G47-I47</f>
        <v>0</v>
      </c>
      <c r="K47" s="320" t="n">
        <f aca="false">N46</f>
        <v>0</v>
      </c>
      <c r="L47" s="134" t="n">
        <f aca="false">K47*$M$18*0.5</f>
        <v>0</v>
      </c>
      <c r="M47" s="134" t="n">
        <f aca="false">IF($M$19&gt;=B47,0,IF(K47&gt;1,IF(ASS!$W$46=1,$M$16/(($M$17*2)-$M$19),-PMT($M$18/2,($M$17*2-B46),K47,0)-L47),0))</f>
        <v>0</v>
      </c>
      <c r="N47" s="118" t="n">
        <f aca="false">K47-M47</f>
        <v>0</v>
      </c>
      <c r="O47" s="320" t="n">
        <f aca="false">R46</f>
        <v>0</v>
      </c>
      <c r="P47" s="134" t="n">
        <f aca="false">O47*$Q$18*0.5</f>
        <v>0</v>
      </c>
      <c r="Q47" s="134" t="n">
        <f aca="false">IF($Q$19&gt;=B47,0,IF(O47&gt;1,IF(ASS!$W$54=1,$Q$16/(($Q$17*2)-$Q$19),-PMT($Q$18/2,($Q$17*2-B46),O47,0)-P47),0))</f>
        <v>0</v>
      </c>
      <c r="R47" s="118" t="n">
        <f aca="false">O47-Q47</f>
        <v>0</v>
      </c>
      <c r="S47" s="320" t="n">
        <f aca="false">V46</f>
        <v>0</v>
      </c>
      <c r="T47" s="134" t="n">
        <f aca="false">S47*$U$18*0.5</f>
        <v>0</v>
      </c>
      <c r="U47" s="134" t="n">
        <f aca="false">IF($U$19&gt;=B47,0,IF(S47&gt;1,IF(ASS!$W$62=1,$U$16/(($U$17*2)-$U$19),-PMT($U$18/2,($U$17*2-B46),S47,0)-T47),0))</f>
        <v>0</v>
      </c>
      <c r="V47" s="118" t="n">
        <f aca="false">S47-U47</f>
        <v>0</v>
      </c>
      <c r="W47" s="320" t="n">
        <f aca="false">Z46</f>
        <v>0</v>
      </c>
      <c r="X47" s="134" t="n">
        <f aca="false">W47*$Y$18*0.5</f>
        <v>0</v>
      </c>
      <c r="Y47" s="134" t="n">
        <f aca="false">IF($Y$19&gt;=B47,0,IF(W47&gt;1,IF(ASS!$W$70=1,$Y$16/(($Y$17*2)-$Y$19),-PMT($Y$18/2,($Y$17*2-B46),W47,0)-X47),0))</f>
        <v>0</v>
      </c>
      <c r="Z47" s="118" t="n">
        <f aca="false">W47-Y47</f>
        <v>0</v>
      </c>
      <c r="AA47" s="134"/>
      <c r="AB47" s="118"/>
    </row>
    <row r="48" customFormat="false" ht="12.75" hidden="false" customHeight="false" outlineLevel="0" collapsed="false">
      <c r="A48" s="57" t="n">
        <f aca="false">A47</f>
        <v>2013</v>
      </c>
      <c r="B48" s="60" t="n">
        <f aca="false">B47+1</f>
        <v>25</v>
      </c>
      <c r="C48" s="321" t="n">
        <f aca="false">F47</f>
        <v>0</v>
      </c>
      <c r="D48" s="322" t="n">
        <f aca="false">C48*$E$18*0.5</f>
        <v>0</v>
      </c>
      <c r="E48" s="322" t="n">
        <f aca="false">IF($E$19&gt;=B48,0,IF(C48&gt;1,IF(ASS!$W$30=1,$E$16/(($E$17*2)-$E$19),-PMT($E$18/2,($E$17*2-B47),C48,0)-D48),0))</f>
        <v>0</v>
      </c>
      <c r="F48" s="121" t="n">
        <f aca="false">C48-E48</f>
        <v>0</v>
      </c>
      <c r="G48" s="321" t="n">
        <f aca="false">J47</f>
        <v>0</v>
      </c>
      <c r="H48" s="322" t="n">
        <f aca="false">G48*$I$18*0.5</f>
        <v>0</v>
      </c>
      <c r="I48" s="322" t="n">
        <f aca="false">IF($I$19&gt;=B48,0,IF(G48&gt;1,IF(ASS!$W$38=1,$I$16/(($I$17*2)-$I$19),-PMT($I$18/2,($I$17*2-B47),G48,0)-H48),0))</f>
        <v>0</v>
      </c>
      <c r="J48" s="121" t="n">
        <f aca="false">G48-I48</f>
        <v>0</v>
      </c>
      <c r="K48" s="321" t="n">
        <f aca="false">N47</f>
        <v>0</v>
      </c>
      <c r="L48" s="322" t="n">
        <f aca="false">K48*$M$18*0.5</f>
        <v>0</v>
      </c>
      <c r="M48" s="322" t="n">
        <f aca="false">IF($M$19&gt;=B48,0,IF(K48&gt;1,IF(ASS!$W$46=1,$M$16/(($M$17*2)-$M$19),-PMT($M$18/2,($M$17*2-B47),K48,0)-L48),0))</f>
        <v>0</v>
      </c>
      <c r="N48" s="121" t="n">
        <f aca="false">K48-M48</f>
        <v>0</v>
      </c>
      <c r="O48" s="321" t="n">
        <f aca="false">R47</f>
        <v>0</v>
      </c>
      <c r="P48" s="322" t="n">
        <f aca="false">O48*$Q$18*0.5</f>
        <v>0</v>
      </c>
      <c r="Q48" s="322" t="n">
        <f aca="false">IF($Q$19&gt;=B48,0,IF(O48&gt;1,IF(ASS!$W$54=1,$Q$16/(($Q$17*2)-$Q$19),-PMT($Q$18/2,($Q$17*2-B47),O48,0)-P48),0))</f>
        <v>0</v>
      </c>
      <c r="R48" s="121" t="n">
        <f aca="false">O48-Q48</f>
        <v>0</v>
      </c>
      <c r="S48" s="321" t="n">
        <f aca="false">V47</f>
        <v>0</v>
      </c>
      <c r="T48" s="322" t="n">
        <f aca="false">S48*$U$18*0.5</f>
        <v>0</v>
      </c>
      <c r="U48" s="322" t="n">
        <f aca="false">IF($U$19&gt;=B48,0,IF(S48&gt;1,IF(ASS!$W$62=1,$U$16/(($U$17*2)-$U$19),-PMT($U$18/2,($U$17*2-B47),S48,0)-T48),0))</f>
        <v>0</v>
      </c>
      <c r="V48" s="121" t="n">
        <f aca="false">S48-U48</f>
        <v>0</v>
      </c>
      <c r="W48" s="321" t="n">
        <f aca="false">Z47</f>
        <v>0</v>
      </c>
      <c r="X48" s="322" t="n">
        <f aca="false">W48*$Y$18*0.5</f>
        <v>0</v>
      </c>
      <c r="Y48" s="322" t="n">
        <f aca="false">IF($Y$19&gt;=B48,0,IF(W48&gt;1,IF(ASS!$W$70=1,$Y$16/(($Y$17*2)-$Y$19),-PMT($Y$18/2,($Y$17*2-B47),W48,0)-X48),0))</f>
        <v>0</v>
      </c>
      <c r="Z48" s="121" t="n">
        <f aca="false">W48-Y48</f>
        <v>0</v>
      </c>
      <c r="AA48" s="322" t="n">
        <f aca="false">SUM(D47:D48,H47:H48,L47:L48,P47:P48,T47:T48,X47:X48)</f>
        <v>0</v>
      </c>
      <c r="AB48" s="121" t="n">
        <f aca="false">SUM(E47:E48,I47:I48,M47:M48,Q47:Q48,U47:U48,Y47:Y48)</f>
        <v>0</v>
      </c>
    </row>
    <row r="49" customFormat="false" ht="12.75" hidden="false" customHeight="false" outlineLevel="0" collapsed="false">
      <c r="A49" s="29" t="n">
        <f aca="false">A47+1</f>
        <v>2014</v>
      </c>
      <c r="B49" s="34" t="n">
        <f aca="false">B48+1</f>
        <v>26</v>
      </c>
      <c r="C49" s="320" t="n">
        <f aca="false">F48</f>
        <v>0</v>
      </c>
      <c r="D49" s="134" t="n">
        <f aca="false">C49*$E$18*0.5</f>
        <v>0</v>
      </c>
      <c r="E49" s="134" t="n">
        <f aca="false">IF($E$19&gt;=B49,0,IF(C49&gt;1,IF(ASS!$W$30=1,$E$16/(($E$17*2)-$E$19),-PMT($E$18/2,($E$17*2-B48),C49,0)-D49),0))</f>
        <v>0</v>
      </c>
      <c r="F49" s="118" t="n">
        <f aca="false">C49-E49</f>
        <v>0</v>
      </c>
      <c r="G49" s="320" t="n">
        <f aca="false">J48</f>
        <v>0</v>
      </c>
      <c r="H49" s="134" t="n">
        <f aca="false">G49*$I$18*0.5</f>
        <v>0</v>
      </c>
      <c r="I49" s="134" t="n">
        <f aca="false">IF($I$19&gt;=B49,0,IF(G49&gt;1,IF(ASS!$W$38=1,$I$16/(($I$17*2)-$I$19),-PMT($I$18/2,($I$17*2-B48),G49,0)-H49),0))</f>
        <v>0</v>
      </c>
      <c r="J49" s="118" t="n">
        <f aca="false">G49-I49</f>
        <v>0</v>
      </c>
      <c r="K49" s="320" t="n">
        <f aca="false">N48</f>
        <v>0</v>
      </c>
      <c r="L49" s="134" t="n">
        <f aca="false">K49*$M$18*0.5</f>
        <v>0</v>
      </c>
      <c r="M49" s="134" t="n">
        <f aca="false">IF($M$19&gt;=B49,0,IF(K49&gt;1,IF(ASS!$W$46=1,$M$16/(($M$17*2)-$M$19),-PMT($M$18/2,($M$17*2-B48),K49,0)-L49),0))</f>
        <v>0</v>
      </c>
      <c r="N49" s="118" t="n">
        <f aca="false">K49-M49</f>
        <v>0</v>
      </c>
      <c r="O49" s="320" t="n">
        <f aca="false">R48</f>
        <v>0</v>
      </c>
      <c r="P49" s="134" t="n">
        <f aca="false">O49*$Q$18*0.5</f>
        <v>0</v>
      </c>
      <c r="Q49" s="134" t="n">
        <f aca="false">IF($Q$19&gt;=B49,0,IF(O49&gt;1,IF(ASS!$W$54=1,$Q$16/(($Q$17*2)-$Q$19),-PMT($Q$18/2,($Q$17*2-B48),O49,0)-P49),0))</f>
        <v>0</v>
      </c>
      <c r="R49" s="118" t="n">
        <f aca="false">O49-Q49</f>
        <v>0</v>
      </c>
      <c r="S49" s="320" t="n">
        <f aca="false">V48</f>
        <v>0</v>
      </c>
      <c r="T49" s="134" t="n">
        <f aca="false">S49*$U$18*0.5</f>
        <v>0</v>
      </c>
      <c r="U49" s="134" t="n">
        <f aca="false">IF($U$19&gt;=B49,0,IF(S49&gt;1,IF(ASS!$W$62=1,$U$16/(($U$17*2)-$U$19),-PMT($U$18/2,($U$17*2-B48),S49,0)-T49),0))</f>
        <v>0</v>
      </c>
      <c r="V49" s="118" t="n">
        <f aca="false">S49-U49</f>
        <v>0</v>
      </c>
      <c r="W49" s="320" t="n">
        <f aca="false">Z48</f>
        <v>0</v>
      </c>
      <c r="X49" s="134" t="n">
        <f aca="false">W49*$Y$18*0.5</f>
        <v>0</v>
      </c>
      <c r="Y49" s="134" t="n">
        <f aca="false">IF($Y$19&gt;=B49,0,IF(W49&gt;1,IF(ASS!$W$70=1,$Y$16/(($Y$17*2)-$Y$19),-PMT($Y$18/2,($Y$17*2-B48),W49,0)-X49),0))</f>
        <v>0</v>
      </c>
      <c r="Z49" s="118" t="n">
        <f aca="false">W49-Y49</f>
        <v>0</v>
      </c>
      <c r="AA49" s="134"/>
      <c r="AB49" s="118"/>
    </row>
    <row r="50" customFormat="false" ht="12.75" hidden="false" customHeight="false" outlineLevel="0" collapsed="false">
      <c r="A50" s="57" t="n">
        <f aca="false">A49</f>
        <v>2014</v>
      </c>
      <c r="B50" s="60" t="n">
        <f aca="false">B49+1</f>
        <v>27</v>
      </c>
      <c r="C50" s="321" t="n">
        <f aca="false">F49</f>
        <v>0</v>
      </c>
      <c r="D50" s="322" t="n">
        <f aca="false">C50*$E$18*0.5</f>
        <v>0</v>
      </c>
      <c r="E50" s="322" t="n">
        <f aca="false">IF($E$19&gt;=B50,0,IF(C50&gt;1,IF(ASS!$W$30=1,$E$16/(($E$17*2)-$E$19),-PMT($E$18/2,($E$17*2-B49),C50,0)-D50),0))</f>
        <v>0</v>
      </c>
      <c r="F50" s="121" t="n">
        <f aca="false">C50-E50</f>
        <v>0</v>
      </c>
      <c r="G50" s="321" t="n">
        <f aca="false">J49</f>
        <v>0</v>
      </c>
      <c r="H50" s="322" t="n">
        <f aca="false">G50*$I$18*0.5</f>
        <v>0</v>
      </c>
      <c r="I50" s="322" t="n">
        <f aca="false">IF($I$19&gt;=B50,0,IF(G50&gt;1,IF(ASS!$W$38=1,$I$16/(($I$17*2)-$I$19),-PMT($I$18/2,($I$17*2-B49),G50,0)-H50),0))</f>
        <v>0</v>
      </c>
      <c r="J50" s="121" t="n">
        <f aca="false">G50-I50</f>
        <v>0</v>
      </c>
      <c r="K50" s="321" t="n">
        <f aca="false">N49</f>
        <v>0</v>
      </c>
      <c r="L50" s="322" t="n">
        <f aca="false">K50*$M$18*0.5</f>
        <v>0</v>
      </c>
      <c r="M50" s="322" t="n">
        <f aca="false">IF($M$19&gt;=B50,0,IF(K50&gt;1,IF(ASS!$W$46=1,$M$16/(($M$17*2)-$M$19),-PMT($M$18/2,($M$17*2-B49),K50,0)-L50),0))</f>
        <v>0</v>
      </c>
      <c r="N50" s="121" t="n">
        <f aca="false">K50-M50</f>
        <v>0</v>
      </c>
      <c r="O50" s="321" t="n">
        <f aca="false">R49</f>
        <v>0</v>
      </c>
      <c r="P50" s="322" t="n">
        <f aca="false">O50*$Q$18*0.5</f>
        <v>0</v>
      </c>
      <c r="Q50" s="322" t="n">
        <f aca="false">IF($Q$19&gt;=B50,0,IF(O50&gt;1,IF(ASS!$W$54=1,$Q$16/(($Q$17*2)-$Q$19),-PMT($Q$18/2,($Q$17*2-B49),O50,0)-P50),0))</f>
        <v>0</v>
      </c>
      <c r="R50" s="121" t="n">
        <f aca="false">O50-Q50</f>
        <v>0</v>
      </c>
      <c r="S50" s="321" t="n">
        <f aca="false">V49</f>
        <v>0</v>
      </c>
      <c r="T50" s="322" t="n">
        <f aca="false">S50*$U$18*0.5</f>
        <v>0</v>
      </c>
      <c r="U50" s="322" t="n">
        <f aca="false">IF($U$19&gt;=B50,0,IF(S50&gt;1,IF(ASS!$W$62=1,$U$16/(($U$17*2)-$U$19),-PMT($U$18/2,($U$17*2-B49),S50,0)-T50),0))</f>
        <v>0</v>
      </c>
      <c r="V50" s="121" t="n">
        <f aca="false">S50-U50</f>
        <v>0</v>
      </c>
      <c r="W50" s="321" t="n">
        <f aca="false">Z49</f>
        <v>0</v>
      </c>
      <c r="X50" s="322" t="n">
        <f aca="false">W50*$Y$18*0.5</f>
        <v>0</v>
      </c>
      <c r="Y50" s="322" t="n">
        <f aca="false">IF($Y$19&gt;=B50,0,IF(W50&gt;1,IF(ASS!$W$70=1,$Y$16/(($Y$17*2)-$Y$19),-PMT($Y$18/2,($Y$17*2-B49),W50,0)-X50),0))</f>
        <v>0</v>
      </c>
      <c r="Z50" s="121" t="n">
        <f aca="false">W50-Y50</f>
        <v>0</v>
      </c>
      <c r="AA50" s="322" t="n">
        <f aca="false">SUM(D49:D50,H49:H50,L49:L50,P49:P50,T49:T50,X49:X50)</f>
        <v>0</v>
      </c>
      <c r="AB50" s="121" t="n">
        <f aca="false">SUM(E49:E50,I49:I50,M49:M50,Q49:Q50,U49:U50,Y49:Y50)</f>
        <v>0</v>
      </c>
    </row>
    <row r="51" customFormat="false" ht="12.75" hidden="false" customHeight="false" outlineLevel="0" collapsed="false">
      <c r="A51" s="29" t="n">
        <f aca="false">A49+1</f>
        <v>2015</v>
      </c>
      <c r="B51" s="34" t="n">
        <f aca="false">B50+1</f>
        <v>28</v>
      </c>
      <c r="C51" s="320" t="n">
        <f aca="false">F50</f>
        <v>0</v>
      </c>
      <c r="D51" s="134" t="n">
        <f aca="false">C51*$E$18*0.5</f>
        <v>0</v>
      </c>
      <c r="E51" s="134" t="n">
        <f aca="false">IF($E$19&gt;=B51,0,IF(C51&gt;1,IF(ASS!$W$30=1,$E$16/(($E$17*2)-$E$19),-PMT($E$18/2,($E$17*2-B50),C51,0)-D51),0))</f>
        <v>0</v>
      </c>
      <c r="F51" s="118" t="n">
        <f aca="false">C51-E51</f>
        <v>0</v>
      </c>
      <c r="G51" s="320" t="n">
        <f aca="false">J50</f>
        <v>0</v>
      </c>
      <c r="H51" s="134" t="n">
        <f aca="false">G51*$I$18*0.5</f>
        <v>0</v>
      </c>
      <c r="I51" s="134" t="n">
        <f aca="false">IF($I$19&gt;=B51,0,IF(G51&gt;1,IF(ASS!$W$38=1,$I$16/(($I$17*2)-$I$19),-PMT($I$18/2,($I$17*2-B50),G51,0)-H51),0))</f>
        <v>0</v>
      </c>
      <c r="J51" s="118" t="n">
        <f aca="false">G51-I51</f>
        <v>0</v>
      </c>
      <c r="K51" s="320" t="n">
        <f aca="false">N50</f>
        <v>0</v>
      </c>
      <c r="L51" s="134" t="n">
        <f aca="false">K51*$M$18*0.5</f>
        <v>0</v>
      </c>
      <c r="M51" s="134" t="n">
        <f aca="false">IF($M$19&gt;=B51,0,IF(K51&gt;1,IF(ASS!$W$46=1,$M$16/(($M$17*2)-$M$19),-PMT($M$18/2,($M$17*2-B50),K51,0)-L51),0))</f>
        <v>0</v>
      </c>
      <c r="N51" s="118" t="n">
        <f aca="false">K51-M51</f>
        <v>0</v>
      </c>
      <c r="O51" s="320" t="n">
        <f aca="false">R50</f>
        <v>0</v>
      </c>
      <c r="P51" s="134" t="n">
        <f aca="false">O51*$Q$18*0.5</f>
        <v>0</v>
      </c>
      <c r="Q51" s="134" t="n">
        <f aca="false">IF($Q$19&gt;=B51,0,IF(O51&gt;1,IF(ASS!$W$54=1,$Q$16/(($Q$17*2)-$Q$19),-PMT($Q$18/2,($Q$17*2-B50),O51,0)-P51),0))</f>
        <v>0</v>
      </c>
      <c r="R51" s="118" t="n">
        <f aca="false">O51-Q51</f>
        <v>0</v>
      </c>
      <c r="S51" s="320" t="n">
        <f aca="false">V50</f>
        <v>0</v>
      </c>
      <c r="T51" s="134" t="n">
        <f aca="false">S51*$U$18*0.5</f>
        <v>0</v>
      </c>
      <c r="U51" s="134" t="n">
        <f aca="false">IF($U$19&gt;=B51,0,IF(S51&gt;1,IF(ASS!$W$62=1,$U$16/(($U$17*2)-$U$19),-PMT($U$18/2,($U$17*2-B50),S51,0)-T51),0))</f>
        <v>0</v>
      </c>
      <c r="V51" s="118" t="n">
        <f aca="false">S51-U51</f>
        <v>0</v>
      </c>
      <c r="W51" s="320" t="n">
        <f aca="false">Z50</f>
        <v>0</v>
      </c>
      <c r="X51" s="134" t="n">
        <f aca="false">W51*$Y$18*0.5</f>
        <v>0</v>
      </c>
      <c r="Y51" s="134" t="n">
        <f aca="false">IF($Y$19&gt;=B51,0,IF(W51&gt;1,IF(ASS!$W$70=1,$Y$16/(($Y$17*2)-$Y$19),-PMT($Y$18/2,($Y$17*2-B50),W51,0)-X51),0))</f>
        <v>0</v>
      </c>
      <c r="Z51" s="118" t="n">
        <f aca="false">W51-Y51</f>
        <v>0</v>
      </c>
      <c r="AA51" s="134"/>
      <c r="AB51" s="118"/>
    </row>
    <row r="52" customFormat="false" ht="12.75" hidden="false" customHeight="false" outlineLevel="0" collapsed="false">
      <c r="A52" s="57" t="n">
        <f aca="false">A51</f>
        <v>2015</v>
      </c>
      <c r="B52" s="60" t="n">
        <f aca="false">B51+1</f>
        <v>29</v>
      </c>
      <c r="C52" s="321" t="n">
        <f aca="false">F51</f>
        <v>0</v>
      </c>
      <c r="D52" s="322" t="n">
        <f aca="false">C52*$E$18*0.5</f>
        <v>0</v>
      </c>
      <c r="E52" s="322" t="n">
        <f aca="false">IF($E$19&gt;=B52,0,IF(C52&gt;1,IF(ASS!$W$30=1,$E$16/(($E$17*2)-$E$19),-PMT($E$18/2,($E$17*2-B51),C52,0)-D52),0))</f>
        <v>0</v>
      </c>
      <c r="F52" s="121" t="n">
        <f aca="false">C52-E52</f>
        <v>0</v>
      </c>
      <c r="G52" s="321" t="n">
        <f aca="false">J51</f>
        <v>0</v>
      </c>
      <c r="H52" s="322" t="n">
        <f aca="false">G52*$I$18*0.5</f>
        <v>0</v>
      </c>
      <c r="I52" s="322" t="n">
        <f aca="false">IF($I$19&gt;=B52,0,IF(G52&gt;1,IF(ASS!$W$38=1,$I$16/(($I$17*2)-$I$19),-PMT($I$18/2,($I$17*2-B51),G52,0)-H52),0))</f>
        <v>0</v>
      </c>
      <c r="J52" s="121" t="n">
        <f aca="false">G52-I52</f>
        <v>0</v>
      </c>
      <c r="K52" s="321" t="n">
        <f aca="false">N51</f>
        <v>0</v>
      </c>
      <c r="L52" s="322" t="n">
        <f aca="false">K52*$M$18*0.5</f>
        <v>0</v>
      </c>
      <c r="M52" s="322" t="n">
        <f aca="false">IF($M$19&gt;=B52,0,IF(K52&gt;1,IF(ASS!$W$46=1,$M$16/(($M$17*2)-$M$19),-PMT($M$18/2,($M$17*2-B51),K52,0)-L52),0))</f>
        <v>0</v>
      </c>
      <c r="N52" s="121" t="n">
        <f aca="false">K52-M52</f>
        <v>0</v>
      </c>
      <c r="O52" s="321" t="n">
        <f aca="false">R51</f>
        <v>0</v>
      </c>
      <c r="P52" s="322" t="n">
        <f aca="false">O52*$Q$18*0.5</f>
        <v>0</v>
      </c>
      <c r="Q52" s="322" t="n">
        <f aca="false">IF($Q$19&gt;=B52,0,IF(O52&gt;1,IF(ASS!$W$54=1,$Q$16/(($Q$17*2)-$Q$19),-PMT($Q$18/2,($Q$17*2-B51),O52,0)-P52),0))</f>
        <v>0</v>
      </c>
      <c r="R52" s="121" t="n">
        <f aca="false">O52-Q52</f>
        <v>0</v>
      </c>
      <c r="S52" s="321" t="n">
        <f aca="false">V51</f>
        <v>0</v>
      </c>
      <c r="T52" s="322" t="n">
        <f aca="false">S52*$U$18*0.5</f>
        <v>0</v>
      </c>
      <c r="U52" s="322" t="n">
        <f aca="false">IF($U$19&gt;=B52,0,IF(S52&gt;1,IF(ASS!$W$62=1,$U$16/(($U$17*2)-$U$19),-PMT($U$18/2,($U$17*2-B51),S52,0)-T52),0))</f>
        <v>0</v>
      </c>
      <c r="V52" s="121" t="n">
        <f aca="false">S52-U52</f>
        <v>0</v>
      </c>
      <c r="W52" s="321" t="n">
        <f aca="false">Z51</f>
        <v>0</v>
      </c>
      <c r="X52" s="322" t="n">
        <f aca="false">W52*$Y$18*0.5</f>
        <v>0</v>
      </c>
      <c r="Y52" s="322" t="n">
        <f aca="false">IF($Y$19&gt;=B52,0,IF(W52&gt;1,IF(ASS!$W$70=1,$Y$16/(($Y$17*2)-$Y$19),-PMT($Y$18/2,($Y$17*2-B51),W52,0)-X52),0))</f>
        <v>0</v>
      </c>
      <c r="Z52" s="121" t="n">
        <f aca="false">W52-Y52</f>
        <v>0</v>
      </c>
      <c r="AA52" s="322" t="n">
        <f aca="false">SUM(D51:D52,H51:H52,L51:L52,P51:P52,T51:T52,X51:X52)</f>
        <v>0</v>
      </c>
      <c r="AB52" s="121" t="n">
        <f aca="false">SUM(E51:E52,I51:I52,M51:M52,Q51:Q52,U51:U52,Y51:Y52)</f>
        <v>0</v>
      </c>
    </row>
    <row r="53" customFormat="false" ht="12.75" hidden="false" customHeight="false" outlineLevel="0" collapsed="false">
      <c r="A53" s="29" t="n">
        <f aca="false">A51+1</f>
        <v>2016</v>
      </c>
      <c r="B53" s="34" t="n">
        <f aca="false">B52+1</f>
        <v>30</v>
      </c>
      <c r="C53" s="320" t="n">
        <f aca="false">F52</f>
        <v>0</v>
      </c>
      <c r="D53" s="134" t="n">
        <f aca="false">C53*$E$18*0.5</f>
        <v>0</v>
      </c>
      <c r="E53" s="134" t="n">
        <f aca="false">IF($E$19&gt;=B53,0,IF(C53&gt;1,IF(ASS!$W$30=1,$E$16/(($E$17*2)-$E$19),-PMT($E$18/2,($E$17*2-B52),C53,0)-D53),0))</f>
        <v>0</v>
      </c>
      <c r="F53" s="118" t="n">
        <f aca="false">C53-E53</f>
        <v>0</v>
      </c>
      <c r="G53" s="320" t="n">
        <f aca="false">J52</f>
        <v>0</v>
      </c>
      <c r="H53" s="134" t="n">
        <f aca="false">G53*$I$18*0.5</f>
        <v>0</v>
      </c>
      <c r="I53" s="134" t="n">
        <f aca="false">IF($I$19&gt;=B53,0,IF(G53&gt;1,IF(ASS!$W$38=1,$I$16/(($I$17*2)-$I$19),-PMT($I$18/2,($I$17*2-B52),G53,0)-H53),0))</f>
        <v>0</v>
      </c>
      <c r="J53" s="118" t="n">
        <f aca="false">G53-I53</f>
        <v>0</v>
      </c>
      <c r="K53" s="320" t="n">
        <f aca="false">N52</f>
        <v>0</v>
      </c>
      <c r="L53" s="134" t="n">
        <f aca="false">K53*$M$18*0.5</f>
        <v>0</v>
      </c>
      <c r="M53" s="134" t="n">
        <f aca="false">IF($M$19&gt;=B53,0,IF(K53&gt;1,IF(ASS!$W$46=1,$M$16/(($M$17*2)-$M$19),-PMT($M$18/2,($M$17*2-B52),K53,0)-L53),0))</f>
        <v>0</v>
      </c>
      <c r="N53" s="118" t="n">
        <f aca="false">K53-M53</f>
        <v>0</v>
      </c>
      <c r="O53" s="320" t="n">
        <f aca="false">R52</f>
        <v>0</v>
      </c>
      <c r="P53" s="134" t="n">
        <f aca="false">O53*$Q$18*0.5</f>
        <v>0</v>
      </c>
      <c r="Q53" s="134" t="n">
        <f aca="false">IF($Q$19&gt;=B53,0,IF(O53&gt;1,IF(ASS!$W$54=1,$Q$16/(($Q$17*2)-$Q$19),-PMT($Q$18/2,($Q$17*2-B52),O53,0)-P53),0))</f>
        <v>0</v>
      </c>
      <c r="R53" s="118" t="n">
        <f aca="false">O53-Q53</f>
        <v>0</v>
      </c>
      <c r="S53" s="320" t="n">
        <f aca="false">V52</f>
        <v>0</v>
      </c>
      <c r="T53" s="134" t="n">
        <f aca="false">S53*$U$18*0.5</f>
        <v>0</v>
      </c>
      <c r="U53" s="134" t="n">
        <f aca="false">IF($U$19&gt;=B53,0,IF(S53&gt;1,IF(ASS!$W$62=1,$U$16/(($U$17*2)-$U$19),-PMT($U$18/2,($U$17*2-B52),S53,0)-T53),0))</f>
        <v>0</v>
      </c>
      <c r="V53" s="118" t="n">
        <f aca="false">S53-U53</f>
        <v>0</v>
      </c>
      <c r="W53" s="320" t="n">
        <f aca="false">Z52</f>
        <v>0</v>
      </c>
      <c r="X53" s="134" t="n">
        <f aca="false">W53*$Y$18*0.5</f>
        <v>0</v>
      </c>
      <c r="Y53" s="134" t="n">
        <f aca="false">IF($Y$19&gt;=B53,0,IF(W53&gt;1,IF(ASS!$W$70=1,$Y$16/(($Y$17*2)-$Y$19),-PMT($Y$18/2,($Y$17*2-B52),W53,0)-X53),0))</f>
        <v>0</v>
      </c>
      <c r="Z53" s="118" t="n">
        <f aca="false">W53-Y53</f>
        <v>0</v>
      </c>
      <c r="AA53" s="134"/>
      <c r="AB53" s="118"/>
    </row>
    <row r="54" customFormat="false" ht="12.75" hidden="false" customHeight="false" outlineLevel="0" collapsed="false">
      <c r="A54" s="57" t="n">
        <f aca="false">A53</f>
        <v>2016</v>
      </c>
      <c r="B54" s="60" t="n">
        <f aca="false">B53+1</f>
        <v>31</v>
      </c>
      <c r="C54" s="321" t="n">
        <f aca="false">F53</f>
        <v>0</v>
      </c>
      <c r="D54" s="322" t="n">
        <f aca="false">C54*$E$18*0.5</f>
        <v>0</v>
      </c>
      <c r="E54" s="322" t="n">
        <f aca="false">IF($E$19&gt;=B54,0,IF(C54&gt;1,IF(ASS!$W$30=1,$E$16/(($E$17*2)-$E$19),-PMT($E$18/2,($E$17*2-B53),C54,0)-D54),0))</f>
        <v>0</v>
      </c>
      <c r="F54" s="121" t="n">
        <f aca="false">C54-E54</f>
        <v>0</v>
      </c>
      <c r="G54" s="321" t="n">
        <f aca="false">J53</f>
        <v>0</v>
      </c>
      <c r="H54" s="322" t="n">
        <f aca="false">G54*$I$18*0.5</f>
        <v>0</v>
      </c>
      <c r="I54" s="322" t="n">
        <f aca="false">IF($I$19&gt;=B54,0,IF(G54&gt;1,IF(ASS!$W$38=1,$I$16/(($I$17*2)-$I$19),-PMT($I$18/2,($I$17*2-B53),G54,0)-H54),0))</f>
        <v>0</v>
      </c>
      <c r="J54" s="121" t="n">
        <f aca="false">G54-I54</f>
        <v>0</v>
      </c>
      <c r="K54" s="321" t="n">
        <f aca="false">N53</f>
        <v>0</v>
      </c>
      <c r="L54" s="322" t="n">
        <f aca="false">K54*$M$18*0.5</f>
        <v>0</v>
      </c>
      <c r="M54" s="322" t="n">
        <f aca="false">IF($M$19&gt;=B54,0,IF(K54&gt;1,IF(ASS!$W$46=1,$M$16/(($M$17*2)-$M$19),-PMT($M$18/2,($M$17*2-B53),K54,0)-L54),0))</f>
        <v>0</v>
      </c>
      <c r="N54" s="121" t="n">
        <f aca="false">K54-M54</f>
        <v>0</v>
      </c>
      <c r="O54" s="321" t="n">
        <f aca="false">R53</f>
        <v>0</v>
      </c>
      <c r="P54" s="322" t="n">
        <f aca="false">O54*$Q$18*0.5</f>
        <v>0</v>
      </c>
      <c r="Q54" s="322" t="n">
        <f aca="false">IF($Q$19&gt;=B54,0,IF(O54&gt;1,IF(ASS!$W$54=1,$Q$16/(($Q$17*2)-$Q$19),-PMT($Q$18/2,($Q$17*2-B53),O54,0)-P54),0))</f>
        <v>0</v>
      </c>
      <c r="R54" s="121" t="n">
        <f aca="false">O54-Q54</f>
        <v>0</v>
      </c>
      <c r="S54" s="321" t="n">
        <f aca="false">V53</f>
        <v>0</v>
      </c>
      <c r="T54" s="322" t="n">
        <f aca="false">S54*$U$18*0.5</f>
        <v>0</v>
      </c>
      <c r="U54" s="322" t="n">
        <f aca="false">IF($U$19&gt;=B54,0,IF(S54&gt;1,IF(ASS!$W$62=1,$U$16/(($U$17*2)-$U$19),-PMT($U$18/2,($U$17*2-B53),S54,0)-T54),0))</f>
        <v>0</v>
      </c>
      <c r="V54" s="121" t="n">
        <f aca="false">S54-U54</f>
        <v>0</v>
      </c>
      <c r="W54" s="321" t="n">
        <f aca="false">Z53</f>
        <v>0</v>
      </c>
      <c r="X54" s="322" t="n">
        <f aca="false">W54*$Y$18*0.5</f>
        <v>0</v>
      </c>
      <c r="Y54" s="322" t="n">
        <f aca="false">IF($Y$19&gt;=B54,0,IF(W54&gt;1,IF(ASS!$W$70=1,$Y$16/(($Y$17*2)-$Y$19),-PMT($Y$18/2,($Y$17*2-B53),W54,0)-X54),0))</f>
        <v>0</v>
      </c>
      <c r="Z54" s="121" t="n">
        <f aca="false">W54-Y54</f>
        <v>0</v>
      </c>
      <c r="AA54" s="322" t="n">
        <f aca="false">SUM(D53:D54,H53:H54,L53:L54,P53:P54,T53:T54,X53:X54)</f>
        <v>0</v>
      </c>
      <c r="AB54" s="121" t="n">
        <f aca="false">SUM(E53:E54,I53:I54,M53:M54,Q53:Q54,U53:U54,Y53:Y54)</f>
        <v>0</v>
      </c>
    </row>
    <row r="55" customFormat="false" ht="12.75" hidden="false" customHeight="false" outlineLevel="0" collapsed="false">
      <c r="A55" s="29" t="n">
        <f aca="false">A53+1</f>
        <v>2017</v>
      </c>
      <c r="B55" s="34" t="n">
        <f aca="false">B54+1</f>
        <v>32</v>
      </c>
      <c r="C55" s="320" t="n">
        <f aca="false">F54</f>
        <v>0</v>
      </c>
      <c r="D55" s="134" t="n">
        <f aca="false">C55*$E$18*0.5</f>
        <v>0</v>
      </c>
      <c r="E55" s="134" t="n">
        <f aca="false">IF($E$19&gt;=B55,0,IF(C55&gt;1,IF(ASS!$W$30=1,$E$16/(($E$17*2)-$E$19),-PMT($E$18/2,($E$17*2-B54),C55,0)-D55),0))</f>
        <v>0</v>
      </c>
      <c r="F55" s="118" t="n">
        <f aca="false">C55-E55</f>
        <v>0</v>
      </c>
      <c r="G55" s="320" t="n">
        <f aca="false">J54</f>
        <v>0</v>
      </c>
      <c r="H55" s="134" t="n">
        <f aca="false">G55*$I$18*0.5</f>
        <v>0</v>
      </c>
      <c r="I55" s="134" t="n">
        <f aca="false">IF($I$19&gt;=B55,0,IF(G55&gt;1,IF(ASS!$W$38=1,$I$16/(($I$17*2)-$I$19),-PMT($I$18/2,($I$17*2-B54),G55,0)-H55),0))</f>
        <v>0</v>
      </c>
      <c r="J55" s="118" t="n">
        <f aca="false">G55-I55</f>
        <v>0</v>
      </c>
      <c r="K55" s="320" t="n">
        <f aca="false">N54</f>
        <v>0</v>
      </c>
      <c r="L55" s="134" t="n">
        <f aca="false">K55*$M$18*0.5</f>
        <v>0</v>
      </c>
      <c r="M55" s="134" t="n">
        <f aca="false">IF($M$19&gt;=B55,0,IF(K55&gt;1,IF(ASS!$W$46=1,$M$16/(($M$17*2)-$M$19),-PMT($M$18/2,($M$17*2-B54),K55,0)-L55),0))</f>
        <v>0</v>
      </c>
      <c r="N55" s="118" t="n">
        <f aca="false">K55-M55</f>
        <v>0</v>
      </c>
      <c r="O55" s="320" t="n">
        <f aca="false">R54</f>
        <v>0</v>
      </c>
      <c r="P55" s="134" t="n">
        <f aca="false">O55*$Q$18*0.5</f>
        <v>0</v>
      </c>
      <c r="Q55" s="134" t="n">
        <f aca="false">IF($Q$19&gt;=B55,0,IF(O55&gt;1,IF(ASS!$W$54=1,$Q$16/(($Q$17*2)-$Q$19),-PMT($Q$18/2,($Q$17*2-B54),O55,0)-P55),0))</f>
        <v>0</v>
      </c>
      <c r="R55" s="118" t="n">
        <f aca="false">O55-Q55</f>
        <v>0</v>
      </c>
      <c r="S55" s="320" t="n">
        <f aca="false">V54</f>
        <v>0</v>
      </c>
      <c r="T55" s="134" t="n">
        <f aca="false">S55*$U$18*0.5</f>
        <v>0</v>
      </c>
      <c r="U55" s="134" t="n">
        <f aca="false">IF($U$19&gt;=B55,0,IF(S55&gt;1,IF(ASS!$W$62=1,$U$16/(($U$17*2)-$U$19),-PMT($U$18/2,($U$17*2-B54),S55,0)-T55),0))</f>
        <v>0</v>
      </c>
      <c r="V55" s="118" t="n">
        <f aca="false">S55-U55</f>
        <v>0</v>
      </c>
      <c r="W55" s="320" t="n">
        <f aca="false">Z54</f>
        <v>0</v>
      </c>
      <c r="X55" s="134" t="n">
        <f aca="false">W55*$Y$18*0.5</f>
        <v>0</v>
      </c>
      <c r="Y55" s="134" t="n">
        <f aca="false">IF($Y$19&gt;=B55,0,IF(W55&gt;1,IF(ASS!$W$70=1,$Y$16/(($Y$17*2)-$Y$19),-PMT($Y$18/2,($Y$17*2-B54),W55,0)-X55),0))</f>
        <v>0</v>
      </c>
      <c r="Z55" s="118" t="n">
        <f aca="false">W55-Y55</f>
        <v>0</v>
      </c>
      <c r="AA55" s="134"/>
      <c r="AB55" s="118"/>
    </row>
    <row r="56" customFormat="false" ht="12.75" hidden="false" customHeight="false" outlineLevel="0" collapsed="false">
      <c r="A56" s="57" t="n">
        <f aca="false">A55</f>
        <v>2017</v>
      </c>
      <c r="B56" s="60" t="n">
        <f aca="false">B55+1</f>
        <v>33</v>
      </c>
      <c r="C56" s="321" t="n">
        <f aca="false">F55</f>
        <v>0</v>
      </c>
      <c r="D56" s="322" t="n">
        <f aca="false">C56*$E$18*0.5</f>
        <v>0</v>
      </c>
      <c r="E56" s="322" t="n">
        <f aca="false">IF($E$19&gt;=B56,0,IF(C56&gt;1,IF(ASS!$W$30=1,$E$16/(($E$17*2)-$E$19),-PMT($E$18/2,($E$17*2-B55),C56,0)-D56),0))</f>
        <v>0</v>
      </c>
      <c r="F56" s="121" t="n">
        <f aca="false">C56-E56</f>
        <v>0</v>
      </c>
      <c r="G56" s="321" t="n">
        <f aca="false">J55</f>
        <v>0</v>
      </c>
      <c r="H56" s="322" t="n">
        <f aca="false">G56*$I$18*0.5</f>
        <v>0</v>
      </c>
      <c r="I56" s="322" t="n">
        <f aca="false">IF($I$19&gt;=B56,0,IF(G56&gt;1,IF(ASS!$W$38=1,$I$16/(($I$17*2)-$I$19),-PMT($I$18/2,($I$17*2-B55),G56,0)-H56),0))</f>
        <v>0</v>
      </c>
      <c r="J56" s="121" t="n">
        <f aca="false">G56-I56</f>
        <v>0</v>
      </c>
      <c r="K56" s="321" t="n">
        <f aca="false">N55</f>
        <v>0</v>
      </c>
      <c r="L56" s="322" t="n">
        <f aca="false">K56*$M$18*0.5</f>
        <v>0</v>
      </c>
      <c r="M56" s="322" t="n">
        <f aca="false">IF($M$19&gt;=B56,0,IF(K56&gt;1,IF(ASS!$W$46=1,$M$16/(($M$17*2)-$M$19),-PMT($M$18/2,($M$17*2-B55),K56,0)-L56),0))</f>
        <v>0</v>
      </c>
      <c r="N56" s="121" t="n">
        <f aca="false">K56-M56</f>
        <v>0</v>
      </c>
      <c r="O56" s="321" t="n">
        <f aca="false">R55</f>
        <v>0</v>
      </c>
      <c r="P56" s="322" t="n">
        <f aca="false">O56*$Q$18*0.5</f>
        <v>0</v>
      </c>
      <c r="Q56" s="322" t="n">
        <f aca="false">IF($Q$19&gt;=B56,0,IF(O56&gt;1,IF(ASS!$W$54=1,$Q$16/(($Q$17*2)-$Q$19),-PMT($Q$18/2,($Q$17*2-B55),O56,0)-P56),0))</f>
        <v>0</v>
      </c>
      <c r="R56" s="121" t="n">
        <f aca="false">O56-Q56</f>
        <v>0</v>
      </c>
      <c r="S56" s="321" t="n">
        <f aca="false">V55</f>
        <v>0</v>
      </c>
      <c r="T56" s="322" t="n">
        <f aca="false">S56*$U$18*0.5</f>
        <v>0</v>
      </c>
      <c r="U56" s="322" t="n">
        <f aca="false">IF($U$19&gt;=B56,0,IF(S56&gt;1,IF(ASS!$W$62=1,$U$16/(($U$17*2)-$U$19),-PMT($U$18/2,($U$17*2-B55),S56,0)-T56),0))</f>
        <v>0</v>
      </c>
      <c r="V56" s="121" t="n">
        <f aca="false">S56-U56</f>
        <v>0</v>
      </c>
      <c r="W56" s="321" t="n">
        <f aca="false">Z55</f>
        <v>0</v>
      </c>
      <c r="X56" s="322" t="n">
        <f aca="false">W56*$Y$18*0.5</f>
        <v>0</v>
      </c>
      <c r="Y56" s="322" t="n">
        <f aca="false">IF($Y$19&gt;=B56,0,IF(W56&gt;1,IF(ASS!$W$70=1,$Y$16/(($Y$17*2)-$Y$19),-PMT($Y$18/2,($Y$17*2-B55),W56,0)-X56),0))</f>
        <v>0</v>
      </c>
      <c r="Z56" s="121" t="n">
        <f aca="false">W56-Y56</f>
        <v>0</v>
      </c>
      <c r="AA56" s="322" t="n">
        <f aca="false">SUM(D55:D56,H55:H56,L55:L56,P55:P56,T55:T56,X55:X56)</f>
        <v>0</v>
      </c>
      <c r="AB56" s="121" t="n">
        <f aca="false">SUM(E55:E56,I55:I56,M55:M56,Q55:Q56,U55:U56,Y55:Y56)</f>
        <v>0</v>
      </c>
    </row>
    <row r="57" customFormat="false" ht="12.75" hidden="false" customHeight="false" outlineLevel="0" collapsed="false">
      <c r="A57" s="29" t="n">
        <f aca="false">A55+1</f>
        <v>2018</v>
      </c>
      <c r="B57" s="34" t="n">
        <f aca="false">B56+1</f>
        <v>34</v>
      </c>
      <c r="C57" s="320" t="n">
        <f aca="false">F56</f>
        <v>0</v>
      </c>
      <c r="D57" s="134" t="n">
        <f aca="false">C57*$E$18*0.5</f>
        <v>0</v>
      </c>
      <c r="E57" s="134" t="n">
        <f aca="false">IF($E$19&gt;=B57,0,IF(C57&gt;1,IF(ASS!$W$30=1,$E$16/(($E$17*2)-$E$19),-PMT($E$18/2,($E$17*2-B56),C57,0)-D57),0))</f>
        <v>0</v>
      </c>
      <c r="F57" s="118" t="n">
        <f aca="false">C57-E57</f>
        <v>0</v>
      </c>
      <c r="G57" s="320" t="n">
        <f aca="false">J56</f>
        <v>0</v>
      </c>
      <c r="H57" s="134" t="n">
        <f aca="false">G57*$I$18*0.5</f>
        <v>0</v>
      </c>
      <c r="I57" s="134" t="n">
        <f aca="false">IF($I$19&gt;=B57,0,IF(G57&gt;1,IF(ASS!$W$38=1,$I$16/(($I$17*2)-$I$19),-PMT($I$18/2,($I$17*2-B56),G57,0)-H57),0))</f>
        <v>0</v>
      </c>
      <c r="J57" s="118" t="n">
        <f aca="false">G57-I57</f>
        <v>0</v>
      </c>
      <c r="K57" s="320" t="n">
        <f aca="false">N56</f>
        <v>0</v>
      </c>
      <c r="L57" s="134" t="n">
        <f aca="false">K57*$M$18*0.5</f>
        <v>0</v>
      </c>
      <c r="M57" s="134" t="n">
        <f aca="false">IF($M$19&gt;=B57,0,IF(K57&gt;1,IF(ASS!$W$46=1,$M$16/(($M$17*2)-$M$19),-PMT($M$18/2,($M$17*2-B56),K57,0)-L57),0))</f>
        <v>0</v>
      </c>
      <c r="N57" s="118" t="n">
        <f aca="false">K57-M57</f>
        <v>0</v>
      </c>
      <c r="O57" s="320" t="n">
        <f aca="false">R56</f>
        <v>0</v>
      </c>
      <c r="P57" s="134" t="n">
        <f aca="false">O57*$Q$18*0.5</f>
        <v>0</v>
      </c>
      <c r="Q57" s="134" t="n">
        <f aca="false">IF($Q$19&gt;=B57,0,IF(O57&gt;1,IF(ASS!$W$54=1,$Q$16/(($Q$17*2)-$Q$19),-PMT($Q$18/2,($Q$17*2-B56),O57,0)-P57),0))</f>
        <v>0</v>
      </c>
      <c r="R57" s="118" t="n">
        <f aca="false">O57-Q57</f>
        <v>0</v>
      </c>
      <c r="S57" s="320" t="n">
        <f aca="false">V56</f>
        <v>0</v>
      </c>
      <c r="T57" s="134" t="n">
        <f aca="false">S57*$U$18*0.5</f>
        <v>0</v>
      </c>
      <c r="U57" s="134" t="n">
        <f aca="false">IF($U$19&gt;=B57,0,IF(S57&gt;1,IF(ASS!$W$62=1,$U$16/(($U$17*2)-$U$19),-PMT($U$18/2,($U$17*2-B56),S57,0)-T57),0))</f>
        <v>0</v>
      </c>
      <c r="V57" s="118" t="n">
        <f aca="false">S57-U57</f>
        <v>0</v>
      </c>
      <c r="W57" s="320" t="n">
        <f aca="false">Z56</f>
        <v>0</v>
      </c>
      <c r="X57" s="134" t="n">
        <f aca="false">W57*$Y$18*0.5</f>
        <v>0</v>
      </c>
      <c r="Y57" s="134" t="n">
        <f aca="false">IF($Y$19&gt;=B57,0,IF(W57&gt;1,IF(ASS!$W$70=1,$Y$16/(($Y$17*2)-$Y$19),-PMT($Y$18/2,($Y$17*2-B56),W57,0)-X57),0))</f>
        <v>0</v>
      </c>
      <c r="Z57" s="118" t="n">
        <f aca="false">W57-Y57</f>
        <v>0</v>
      </c>
      <c r="AA57" s="134"/>
      <c r="AB57" s="118"/>
    </row>
    <row r="58" customFormat="false" ht="12.75" hidden="false" customHeight="false" outlineLevel="0" collapsed="false">
      <c r="A58" s="57" t="n">
        <f aca="false">A57</f>
        <v>2018</v>
      </c>
      <c r="B58" s="60" t="n">
        <f aca="false">B57+1</f>
        <v>35</v>
      </c>
      <c r="C58" s="321" t="n">
        <f aca="false">F57</f>
        <v>0</v>
      </c>
      <c r="D58" s="322" t="n">
        <f aca="false">C58*$E$18*0.5</f>
        <v>0</v>
      </c>
      <c r="E58" s="322" t="n">
        <f aca="false">IF($E$19&gt;=B58,0,IF(C58&gt;1,IF(ASS!$W$30=1,$E$16/(($E$17*2)-$E$19),-PMT($E$18/2,($E$17*2-B57),C58,0)-D58),0))</f>
        <v>0</v>
      </c>
      <c r="F58" s="121" t="n">
        <f aca="false">C58-E58</f>
        <v>0</v>
      </c>
      <c r="G58" s="321" t="n">
        <f aca="false">J57</f>
        <v>0</v>
      </c>
      <c r="H58" s="322" t="n">
        <f aca="false">G58*$I$18*0.5</f>
        <v>0</v>
      </c>
      <c r="I58" s="322" t="n">
        <f aca="false">IF($I$19&gt;=B58,0,IF(G58&gt;1,IF(ASS!$W$38=1,$I$16/(($I$17*2)-$I$19),-PMT($I$18/2,($I$17*2-B57),G58,0)-H58),0))</f>
        <v>0</v>
      </c>
      <c r="J58" s="121" t="n">
        <f aca="false">G58-I58</f>
        <v>0</v>
      </c>
      <c r="K58" s="321" t="n">
        <f aca="false">N57</f>
        <v>0</v>
      </c>
      <c r="L58" s="322" t="n">
        <f aca="false">K58*$M$18*0.5</f>
        <v>0</v>
      </c>
      <c r="M58" s="322" t="n">
        <f aca="false">IF($M$19&gt;=B58,0,IF(K58&gt;1,IF(ASS!$W$46=1,$M$16/(($M$17*2)-$M$19),-PMT($M$18/2,($M$17*2-B57),K58,0)-L58),0))</f>
        <v>0</v>
      </c>
      <c r="N58" s="121" t="n">
        <f aca="false">K58-M58</f>
        <v>0</v>
      </c>
      <c r="O58" s="321" t="n">
        <f aca="false">R57</f>
        <v>0</v>
      </c>
      <c r="P58" s="322" t="n">
        <f aca="false">O58*$Q$18*0.5</f>
        <v>0</v>
      </c>
      <c r="Q58" s="322" t="n">
        <f aca="false">IF($Q$19&gt;=B58,0,IF(O58&gt;1,IF(ASS!$W$54=1,$Q$16/(($Q$17*2)-$Q$19),-PMT($Q$18/2,($Q$17*2-B57),O58,0)-P58),0))</f>
        <v>0</v>
      </c>
      <c r="R58" s="121" t="n">
        <f aca="false">O58-Q58</f>
        <v>0</v>
      </c>
      <c r="S58" s="321" t="n">
        <f aca="false">V57</f>
        <v>0</v>
      </c>
      <c r="T58" s="322" t="n">
        <f aca="false">S58*$U$18*0.5</f>
        <v>0</v>
      </c>
      <c r="U58" s="322" t="n">
        <f aca="false">IF($U$19&gt;=B58,0,IF(S58&gt;1,IF(ASS!$W$62=1,$U$16/(($U$17*2)-$U$19),-PMT($U$18/2,($U$17*2-B57),S58,0)-T58),0))</f>
        <v>0</v>
      </c>
      <c r="V58" s="121" t="n">
        <f aca="false">S58-U58</f>
        <v>0</v>
      </c>
      <c r="W58" s="321" t="n">
        <f aca="false">Z57</f>
        <v>0</v>
      </c>
      <c r="X58" s="322" t="n">
        <f aca="false">W58*$Y$18*0.5</f>
        <v>0</v>
      </c>
      <c r="Y58" s="322" t="n">
        <f aca="false">IF($Y$19&gt;=B58,0,IF(W58&gt;1,IF(ASS!$W$70=1,$Y$16/(($Y$17*2)-$Y$19),-PMT($Y$18/2,($Y$17*2-B57),W58,0)-X58),0))</f>
        <v>0</v>
      </c>
      <c r="Z58" s="121" t="n">
        <f aca="false">W58-Y58</f>
        <v>0</v>
      </c>
      <c r="AA58" s="322" t="n">
        <f aca="false">SUM(D57:D58,H57:H58,L57:L58,P57:P58,T57:T58,X57:X58)</f>
        <v>0</v>
      </c>
      <c r="AB58" s="121" t="n">
        <f aca="false">SUM(E57:E58,I57:I58,M57:M58,Q57:Q58,U57:U58,Y57:Y58)</f>
        <v>0</v>
      </c>
    </row>
    <row r="59" customFormat="false" ht="12.75" hidden="false" customHeight="false" outlineLevel="0" collapsed="false">
      <c r="A59" s="29" t="n">
        <f aca="false">A57+1</f>
        <v>2019</v>
      </c>
      <c r="B59" s="34" t="n">
        <f aca="false">B58+1</f>
        <v>36</v>
      </c>
      <c r="C59" s="320" t="n">
        <f aca="false">F58</f>
        <v>0</v>
      </c>
      <c r="D59" s="134" t="n">
        <f aca="false">C59*$E$18*0.5</f>
        <v>0</v>
      </c>
      <c r="E59" s="134" t="n">
        <f aca="false">IF($E$19&gt;=B59,0,IF(C59&gt;1,IF(ASS!$W$30=1,$E$16/(($E$17*2)-$E$19),-PMT($E$18/2,($E$17*2-B58),C59,0)-D59),0))</f>
        <v>0</v>
      </c>
      <c r="F59" s="118" t="n">
        <f aca="false">C59-E59</f>
        <v>0</v>
      </c>
      <c r="G59" s="320" t="n">
        <f aca="false">J58</f>
        <v>0</v>
      </c>
      <c r="H59" s="134" t="n">
        <f aca="false">G59*$I$18*0.5</f>
        <v>0</v>
      </c>
      <c r="I59" s="134" t="n">
        <f aca="false">IF($I$19&gt;=B59,0,IF(G59&gt;1,IF(ASS!$W$38=1,$I$16/(($I$17*2)-$I$19),-PMT($I$18/2,($I$17*2-B58),G59,0)-H59),0))</f>
        <v>0</v>
      </c>
      <c r="J59" s="118" t="n">
        <f aca="false">G59-I59</f>
        <v>0</v>
      </c>
      <c r="K59" s="320" t="n">
        <f aca="false">N58</f>
        <v>0</v>
      </c>
      <c r="L59" s="134" t="n">
        <f aca="false">K59*$M$18*0.5</f>
        <v>0</v>
      </c>
      <c r="M59" s="134" t="n">
        <f aca="false">IF($M$19&gt;=B59,0,IF(K59&gt;1,IF(ASS!$W$46=1,$M$16/(($M$17*2)-$M$19),-PMT($M$18/2,($M$17*2-B58),K59,0)-L59),0))</f>
        <v>0</v>
      </c>
      <c r="N59" s="118" t="n">
        <f aca="false">K59-M59</f>
        <v>0</v>
      </c>
      <c r="O59" s="320" t="n">
        <f aca="false">R58</f>
        <v>0</v>
      </c>
      <c r="P59" s="134" t="n">
        <f aca="false">O59*$Q$18*0.5</f>
        <v>0</v>
      </c>
      <c r="Q59" s="134" t="n">
        <f aca="false">IF($Q$19&gt;=B59,0,IF(O59&gt;1,IF(ASS!$W$54=1,$Q$16/(($Q$17*2)-$Q$19),-PMT($Q$18/2,($Q$17*2-B58),O59,0)-P59),0))</f>
        <v>0</v>
      </c>
      <c r="R59" s="118" t="n">
        <f aca="false">O59-Q59</f>
        <v>0</v>
      </c>
      <c r="S59" s="320" t="n">
        <f aca="false">V58</f>
        <v>0</v>
      </c>
      <c r="T59" s="134" t="n">
        <f aca="false">S59*$U$18*0.5</f>
        <v>0</v>
      </c>
      <c r="U59" s="134" t="n">
        <f aca="false">IF($U$19&gt;=B59,0,IF(S59&gt;1,IF(ASS!$W$62=1,$U$16/(($U$17*2)-$U$19),-PMT($U$18/2,($U$17*2-B58),S59,0)-T59),0))</f>
        <v>0</v>
      </c>
      <c r="V59" s="118" t="n">
        <f aca="false">S59-U59</f>
        <v>0</v>
      </c>
      <c r="W59" s="320" t="n">
        <f aca="false">Z58</f>
        <v>0</v>
      </c>
      <c r="X59" s="134" t="n">
        <f aca="false">W59*$Y$18*0.5</f>
        <v>0</v>
      </c>
      <c r="Y59" s="134" t="n">
        <f aca="false">IF($Y$19&gt;=B59,0,IF(W59&gt;1,IF(ASS!$W$70=1,$Y$16/(($Y$17*2)-$Y$19),-PMT($Y$18/2,($Y$17*2-B58),W59,0)-X59),0))</f>
        <v>0</v>
      </c>
      <c r="Z59" s="118" t="n">
        <f aca="false">W59-Y59</f>
        <v>0</v>
      </c>
      <c r="AA59" s="134"/>
      <c r="AB59" s="118"/>
    </row>
    <row r="60" customFormat="false" ht="12.75" hidden="false" customHeight="false" outlineLevel="0" collapsed="false">
      <c r="A60" s="57" t="n">
        <f aca="false">A59</f>
        <v>2019</v>
      </c>
      <c r="B60" s="60" t="n">
        <f aca="false">B59+1</f>
        <v>37</v>
      </c>
      <c r="C60" s="321" t="n">
        <f aca="false">F59</f>
        <v>0</v>
      </c>
      <c r="D60" s="322" t="n">
        <f aca="false">C60*$E$18*0.5</f>
        <v>0</v>
      </c>
      <c r="E60" s="322" t="n">
        <f aca="false">IF($E$19&gt;=B60,0,IF(C60&gt;1,IF(ASS!$W$30=1,$E$16/(($E$17*2)-$E$19),-PMT($E$18/2,($E$17*2-B59),C60,0)-D60),0))</f>
        <v>0</v>
      </c>
      <c r="F60" s="121" t="n">
        <f aca="false">C60-E60</f>
        <v>0</v>
      </c>
      <c r="G60" s="321" t="n">
        <f aca="false">J59</f>
        <v>0</v>
      </c>
      <c r="H60" s="322" t="n">
        <f aca="false">G60*$I$18*0.5</f>
        <v>0</v>
      </c>
      <c r="I60" s="322" t="n">
        <f aca="false">IF($I$19&gt;=B60,0,IF(G60&gt;1,IF(ASS!$W$38=1,$I$16/(($I$17*2)-$I$19),-PMT($I$18/2,($I$17*2-B59),G60,0)-H60),0))</f>
        <v>0</v>
      </c>
      <c r="J60" s="121" t="n">
        <f aca="false">G60-I60</f>
        <v>0</v>
      </c>
      <c r="K60" s="321" t="n">
        <f aca="false">N59</f>
        <v>0</v>
      </c>
      <c r="L60" s="322" t="n">
        <f aca="false">K60*$M$18*0.5</f>
        <v>0</v>
      </c>
      <c r="M60" s="322" t="n">
        <f aca="false">IF($M$19&gt;=B60,0,IF(K60&gt;1,IF(ASS!$W$46=1,$M$16/(($M$17*2)-$M$19),-PMT($M$18/2,($M$17*2-B59),K60,0)-L60),0))</f>
        <v>0</v>
      </c>
      <c r="N60" s="121" t="n">
        <f aca="false">K60-M60</f>
        <v>0</v>
      </c>
      <c r="O60" s="321" t="n">
        <f aca="false">R59</f>
        <v>0</v>
      </c>
      <c r="P60" s="322" t="n">
        <f aca="false">O60*$Q$18*0.5</f>
        <v>0</v>
      </c>
      <c r="Q60" s="322" t="n">
        <f aca="false">IF($Q$19&gt;=B60,0,IF(O60&gt;1,IF(ASS!$W$54=1,$Q$16/(($Q$17*2)-$Q$19),-PMT($Q$18/2,($Q$17*2-B59),O60,0)-P60),0))</f>
        <v>0</v>
      </c>
      <c r="R60" s="121" t="n">
        <f aca="false">O60-Q60</f>
        <v>0</v>
      </c>
      <c r="S60" s="321" t="n">
        <f aca="false">V59</f>
        <v>0</v>
      </c>
      <c r="T60" s="322" t="n">
        <f aca="false">S60*$U$18*0.5</f>
        <v>0</v>
      </c>
      <c r="U60" s="322" t="n">
        <f aca="false">IF($U$19&gt;=B60,0,IF(S60&gt;1,IF(ASS!$W$62=1,$U$16/(($U$17*2)-$U$19),-PMT($U$18/2,($U$17*2-B59),S60,0)-T60),0))</f>
        <v>0</v>
      </c>
      <c r="V60" s="121" t="n">
        <f aca="false">S60-U60</f>
        <v>0</v>
      </c>
      <c r="W60" s="321" t="n">
        <f aca="false">Z59</f>
        <v>0</v>
      </c>
      <c r="X60" s="322" t="n">
        <f aca="false">W60*$Y$18*0.5</f>
        <v>0</v>
      </c>
      <c r="Y60" s="322" t="n">
        <f aca="false">IF($Y$19&gt;=B60,0,IF(W60&gt;1,IF(ASS!$W$70=1,$Y$16/(($Y$17*2)-$Y$19),-PMT($Y$18/2,($Y$17*2-B59),W60,0)-X60),0))</f>
        <v>0</v>
      </c>
      <c r="Z60" s="121" t="n">
        <f aca="false">W60-Y60</f>
        <v>0</v>
      </c>
      <c r="AA60" s="322" t="n">
        <f aca="false">SUM(D59:D60,H59:H60,L59:L60,P59:P60,T59:T60,X59:X60)</f>
        <v>0</v>
      </c>
      <c r="AB60" s="121" t="n">
        <f aca="false">SUM(E59:E60,I59:I60,M59:M60,Q59:Q60,U59:U60,Y59:Y60)</f>
        <v>0</v>
      </c>
    </row>
    <row r="61" customFormat="false" ht="12.75" hidden="false" customHeight="false" outlineLevel="0" collapsed="false">
      <c r="A61" s="29" t="n">
        <f aca="false">A59+1</f>
        <v>2020</v>
      </c>
      <c r="B61" s="34" t="n">
        <f aca="false">B60+1</f>
        <v>38</v>
      </c>
      <c r="C61" s="320" t="n">
        <f aca="false">F60</f>
        <v>0</v>
      </c>
      <c r="D61" s="134" t="n">
        <f aca="false">C61*$E$18*0.5</f>
        <v>0</v>
      </c>
      <c r="E61" s="134" t="n">
        <f aca="false">IF($E$19&gt;=B61,0,IF(C61&gt;1,IF(ASS!$W$30=1,$E$16/(($E$17*2)-$E$19),-PMT($E$18/2,($E$17*2-B60),C61,0)-D61),0))</f>
        <v>0</v>
      </c>
      <c r="F61" s="118" t="n">
        <f aca="false">C61-E61</f>
        <v>0</v>
      </c>
      <c r="G61" s="320" t="n">
        <f aca="false">J60</f>
        <v>0</v>
      </c>
      <c r="H61" s="134" t="n">
        <f aca="false">G61*$I$18*0.5</f>
        <v>0</v>
      </c>
      <c r="I61" s="134" t="n">
        <f aca="false">IF($I$19&gt;=B61,0,IF(G61&gt;1,IF(ASS!$W$38=1,$I$16/(($I$17*2)-$I$19),-PMT($I$18/2,($I$17*2-B60),G61,0)-H61),0))</f>
        <v>0</v>
      </c>
      <c r="J61" s="118" t="n">
        <f aca="false">G61-I61</f>
        <v>0</v>
      </c>
      <c r="K61" s="320" t="n">
        <f aca="false">N60</f>
        <v>0</v>
      </c>
      <c r="L61" s="134" t="n">
        <f aca="false">K61*$M$18*0.5</f>
        <v>0</v>
      </c>
      <c r="M61" s="134" t="n">
        <f aca="false">IF($M$19&gt;=B61,0,IF(K61&gt;1,IF(ASS!$W$46=1,$M$16/(($M$17*2)-$M$19),-PMT($M$18/2,($M$17*2-B60),K61,0)-L61),0))</f>
        <v>0</v>
      </c>
      <c r="N61" s="118" t="n">
        <f aca="false">K61-M61</f>
        <v>0</v>
      </c>
      <c r="O61" s="320" t="n">
        <f aca="false">R60</f>
        <v>0</v>
      </c>
      <c r="P61" s="134" t="n">
        <f aca="false">O61*$Q$18*0.5</f>
        <v>0</v>
      </c>
      <c r="Q61" s="134" t="n">
        <f aca="false">IF($Q$19&gt;=B61,0,IF(O61&gt;1,IF(ASS!$W$54=1,$Q$16/(($Q$17*2)-$Q$19),-PMT($Q$18/2,($Q$17*2-B60),O61,0)-P61),0))</f>
        <v>0</v>
      </c>
      <c r="R61" s="118" t="n">
        <f aca="false">O61-Q61</f>
        <v>0</v>
      </c>
      <c r="S61" s="320" t="n">
        <f aca="false">V60</f>
        <v>0</v>
      </c>
      <c r="T61" s="134" t="n">
        <f aca="false">S61*$U$18*0.5</f>
        <v>0</v>
      </c>
      <c r="U61" s="134" t="n">
        <f aca="false">IF($U$19&gt;=B61,0,IF(S61&gt;1,IF(ASS!$W$62=1,$U$16/(($U$17*2)-$U$19),-PMT($U$18/2,($U$17*2-B60),S61,0)-T61),0))</f>
        <v>0</v>
      </c>
      <c r="V61" s="118" t="n">
        <f aca="false">S61-U61</f>
        <v>0</v>
      </c>
      <c r="W61" s="320" t="n">
        <f aca="false">Z60</f>
        <v>0</v>
      </c>
      <c r="X61" s="134" t="n">
        <f aca="false">W61*$Y$18*0.5</f>
        <v>0</v>
      </c>
      <c r="Y61" s="134" t="n">
        <f aca="false">IF($Y$19&gt;=B61,0,IF(W61&gt;1,IF(ASS!$W$70=1,$Y$16/(($Y$17*2)-$Y$19),-PMT($Y$18/2,($Y$17*2-B60),W61,0)-X61),0))</f>
        <v>0</v>
      </c>
      <c r="Z61" s="118" t="n">
        <f aca="false">W61-Y61</f>
        <v>0</v>
      </c>
      <c r="AA61" s="134"/>
      <c r="AB61" s="118"/>
    </row>
    <row r="62" customFormat="false" ht="13.5" hidden="false" customHeight="false" outlineLevel="0" collapsed="false">
      <c r="A62" s="57" t="n">
        <f aca="false">A61</f>
        <v>2020</v>
      </c>
      <c r="B62" s="60" t="n">
        <f aca="false">B61+1</f>
        <v>39</v>
      </c>
      <c r="C62" s="321" t="n">
        <f aca="false">F61</f>
        <v>0</v>
      </c>
      <c r="D62" s="322" t="n">
        <f aca="false">C62*$E$18*0.5</f>
        <v>0</v>
      </c>
      <c r="E62" s="322" t="n">
        <f aca="false">IF($E$19&gt;=B62,0,IF(C62&gt;1,IF(ASS!$W$30=1,$E$16/(($E$17*2)-$E$19),-PMT($E$18/2,($E$17*2-B61),C62,0)-D62),0))</f>
        <v>0</v>
      </c>
      <c r="F62" s="121" t="n">
        <f aca="false">C62-E62</f>
        <v>0</v>
      </c>
      <c r="G62" s="321" t="n">
        <f aca="false">J61</f>
        <v>0</v>
      </c>
      <c r="H62" s="322" t="n">
        <f aca="false">G62*$I$18*0.5</f>
        <v>0</v>
      </c>
      <c r="I62" s="322" t="n">
        <f aca="false">IF($I$19&gt;=B62,0,IF(G62&gt;1,IF(ASS!$W$38=1,$I$16/(($I$17*2)-$I$19),-PMT($I$18/2,($I$17*2-B61),G62,0)-H62),0))</f>
        <v>0</v>
      </c>
      <c r="J62" s="121" t="n">
        <f aca="false">G62-I62</f>
        <v>0</v>
      </c>
      <c r="K62" s="321" t="n">
        <f aca="false">N61</f>
        <v>0</v>
      </c>
      <c r="L62" s="322" t="n">
        <f aca="false">K62*$M$18*0.5</f>
        <v>0</v>
      </c>
      <c r="M62" s="322" t="n">
        <f aca="false">IF($M$19&gt;=B62,0,IF(K62&gt;1,IF(ASS!$W$46=1,$M$16/(($M$17*2)-$M$19),-PMT($M$18/2,($M$17*2-B61),K62,0)-L62),0))</f>
        <v>0</v>
      </c>
      <c r="N62" s="121" t="n">
        <f aca="false">K62-M62</f>
        <v>0</v>
      </c>
      <c r="O62" s="321" t="n">
        <f aca="false">R61</f>
        <v>0</v>
      </c>
      <c r="P62" s="322" t="n">
        <f aca="false">O62*$Q$18*0.5</f>
        <v>0</v>
      </c>
      <c r="Q62" s="322" t="n">
        <f aca="false">IF($Q$19&gt;=B62,0,IF(O62&gt;1,IF(ASS!$W$54=1,$Q$16/(($Q$17*2)-$Q$19),-PMT($Q$18/2,($Q$17*2-B61),O62,0)-P62),0))</f>
        <v>0</v>
      </c>
      <c r="R62" s="121" t="n">
        <f aca="false">O62-Q62</f>
        <v>0</v>
      </c>
      <c r="S62" s="321" t="n">
        <f aca="false">V61</f>
        <v>0</v>
      </c>
      <c r="T62" s="322" t="n">
        <f aca="false">S62*$U$18*0.5</f>
        <v>0</v>
      </c>
      <c r="U62" s="322" t="n">
        <f aca="false">IF($U$19&gt;=B62,0,IF(S62&gt;1,IF(ASS!$W$62=1,$U$16/(($U$17*2)-$U$19),-PMT($U$18/2,($U$17*2-B61),S62,0)-T62),0))</f>
        <v>0</v>
      </c>
      <c r="V62" s="121" t="n">
        <f aca="false">S62-U62</f>
        <v>0</v>
      </c>
      <c r="W62" s="321" t="n">
        <f aca="false">Z61</f>
        <v>0</v>
      </c>
      <c r="X62" s="322" t="n">
        <f aca="false">W62*$Y$18*0.5</f>
        <v>0</v>
      </c>
      <c r="Y62" s="322" t="n">
        <f aca="false">IF($Y$19&gt;=B62,0,IF(W62&gt;1,IF(ASS!$W$70=1,$Y$16/(($Y$17*2)-$Y$19),-PMT($Y$18/2,($Y$17*2-B61),W62,0)-X62),0))</f>
        <v>0</v>
      </c>
      <c r="Z62" s="121" t="n">
        <f aca="false">W62-Y62</f>
        <v>0</v>
      </c>
      <c r="AA62" s="322" t="n">
        <f aca="false">SUM(D61:D62,H61:H62,L61:L62,P61:P62,T61:T62,X61:X62)</f>
        <v>0</v>
      </c>
      <c r="AB62" s="121" t="n">
        <f aca="false">SUM(E61:E62,I61:I62,M61:M62,Q61:Q62,U61:U62,Y61:Y62)</f>
        <v>0</v>
      </c>
    </row>
    <row r="63" customFormat="false" ht="14.25" hidden="false" customHeight="false" outlineLevel="0" collapsed="false">
      <c r="A63" s="324" t="s">
        <v>317</v>
      </c>
      <c r="B63" s="324"/>
      <c r="C63" s="285"/>
      <c r="D63" s="325" t="n">
        <f aca="false">SUM(D23:D62)</f>
        <v>0</v>
      </c>
      <c r="E63" s="325" t="n">
        <f aca="false">SUM(E23:E62)</f>
        <v>0</v>
      </c>
      <c r="F63" s="285"/>
      <c r="G63" s="285"/>
      <c r="H63" s="325" t="n">
        <f aca="false">SUM(H23:H62)</f>
        <v>0</v>
      </c>
      <c r="I63" s="325" t="n">
        <f aca="false">SUM(I23:I62)</f>
        <v>0</v>
      </c>
      <c r="J63" s="285"/>
      <c r="K63" s="285"/>
      <c r="L63" s="325" t="n">
        <f aca="false">SUM(L23:L62)</f>
        <v>0</v>
      </c>
      <c r="M63" s="325" t="n">
        <f aca="false">SUM(M23:M62)</f>
        <v>0</v>
      </c>
      <c r="N63" s="285"/>
      <c r="O63" s="285"/>
      <c r="P63" s="325" t="n">
        <f aca="false">SUM(P23:P62)</f>
        <v>0</v>
      </c>
      <c r="Q63" s="325" t="n">
        <f aca="false">SUM(Q23:Q62)</f>
        <v>0</v>
      </c>
      <c r="R63" s="285"/>
      <c r="S63" s="285"/>
      <c r="T63" s="325" t="n">
        <f aca="false">SUM(T23:T62)</f>
        <v>0</v>
      </c>
      <c r="U63" s="325" t="n">
        <f aca="false">SUM(U23:U62)</f>
        <v>0</v>
      </c>
      <c r="V63" s="285"/>
      <c r="W63" s="285"/>
      <c r="X63" s="325" t="n">
        <f aca="false">SUM(X23:X62)</f>
        <v>0</v>
      </c>
      <c r="Y63" s="325" t="n">
        <f aca="false">SUM(Y23:Y62)</f>
        <v>0</v>
      </c>
      <c r="Z63" s="285"/>
      <c r="AA63" s="325" t="n">
        <f aca="false">SUM(AA23:AA62)</f>
        <v>0</v>
      </c>
      <c r="AB63" s="326" t="n">
        <f aca="false">SUM(AB23:AB62)</f>
        <v>0</v>
      </c>
    </row>
    <row r="64" customFormat="false" ht="13.5" hidden="false" customHeight="false" outlineLevel="0" collapsed="false"/>
  </sheetData>
  <mergeCells count="7">
    <mergeCell ref="C15:F15"/>
    <mergeCell ref="G15:J15"/>
    <mergeCell ref="K15:N15"/>
    <mergeCell ref="O15:R15"/>
    <mergeCell ref="S15:V15"/>
    <mergeCell ref="W15:Z15"/>
    <mergeCell ref="A63:B63"/>
  </mergeCells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2.28"/>
    <col collapsed="false" customWidth="true" hidden="false" outlineLevel="0" max="2" min="2" style="1" width="12.99"/>
    <col collapsed="false" customWidth="true" hidden="false" outlineLevel="0" max="3" min="3" style="1" width="13.7"/>
    <col collapsed="false" customWidth="true" hidden="false" outlineLevel="0" max="25" min="4" style="1" width="11.7"/>
    <col collapsed="false" customWidth="false" hidden="false" outlineLevel="0" max="257" min="26" style="1" width="9.14"/>
  </cols>
  <sheetData>
    <row r="1" customFormat="false" ht="15.75" hidden="false" customHeight="false" outlineLevel="0" collapsed="false">
      <c r="A1" s="2" t="s">
        <v>318</v>
      </c>
      <c r="B1" s="327"/>
      <c r="C1" s="328"/>
      <c r="D1" s="329"/>
    </row>
    <row r="2" customFormat="false" ht="15.75" hidden="false" customHeight="false" outlineLevel="0" collapsed="false">
      <c r="A2" s="185" t="n">
        <f aca="false">ASS!A4</f>
        <v>0</v>
      </c>
      <c r="B2" s="329"/>
      <c r="C2" s="330"/>
      <c r="D2" s="329"/>
    </row>
    <row r="3" customFormat="false" ht="15.75" hidden="false" customHeight="false" outlineLevel="0" collapsed="false">
      <c r="A3" s="186" t="str">
        <f aca="false">ASS!A5</f>
        <v>BASE MODEL</v>
      </c>
      <c r="B3" s="331"/>
      <c r="C3" s="332"/>
      <c r="D3" s="329"/>
    </row>
    <row r="4" customFormat="false" ht="12.75" hidden="false" customHeight="false" outlineLevel="0" collapsed="false">
      <c r="A4" s="0"/>
      <c r="B4" s="0"/>
      <c r="C4" s="0"/>
      <c r="D4" s="0"/>
    </row>
    <row r="5" customFormat="false" ht="12.75" hidden="false" customHeight="false" outlineLevel="0" collapsed="false">
      <c r="A5" s="18" t="s">
        <v>194</v>
      </c>
      <c r="B5" s="15"/>
      <c r="C5" s="15"/>
      <c r="D5" s="15" t="n">
        <f aca="false">CF!D5</f>
        <v>1</v>
      </c>
      <c r="E5" s="15" t="n">
        <f aca="false">CF!E5</f>
        <v>2</v>
      </c>
      <c r="F5" s="15" t="n">
        <f aca="false">CF!F5</f>
        <v>3</v>
      </c>
      <c r="G5" s="187"/>
    </row>
    <row r="6" customFormat="false" ht="12.75" hidden="false" customHeight="false" outlineLevel="0" collapsed="false">
      <c r="A6" s="316" t="s">
        <v>195</v>
      </c>
      <c r="B6" s="30"/>
      <c r="C6" s="30"/>
      <c r="D6" s="333" t="n">
        <f aca="false">CF!D6</f>
        <v>2001</v>
      </c>
      <c r="E6" s="333" t="n">
        <f aca="false">CF!E6</f>
        <v>2002</v>
      </c>
      <c r="F6" s="333" t="n">
        <f aca="false">CF!F6</f>
        <v>2003</v>
      </c>
      <c r="G6" s="190" t="s">
        <v>301</v>
      </c>
    </row>
    <row r="7" customFormat="false" ht="12.75" hidden="false" customHeight="false" outlineLevel="0" collapsed="false">
      <c r="A7" s="57" t="s">
        <v>197</v>
      </c>
      <c r="B7" s="58"/>
      <c r="C7" s="58"/>
      <c r="D7" s="58" t="n">
        <f aca="false">CF!D7</f>
        <v>12</v>
      </c>
      <c r="E7" s="58" t="n">
        <f aca="false">CF!E7</f>
        <v>12</v>
      </c>
      <c r="F7" s="58" t="n">
        <f aca="false">CF!F7</f>
        <v>12</v>
      </c>
      <c r="G7" s="191"/>
    </row>
    <row r="8" customFormat="false" ht="12.75" hidden="false" customHeight="false" outlineLevel="0" collapsed="false">
      <c r="A8" s="30"/>
      <c r="B8" s="30"/>
      <c r="C8" s="30"/>
      <c r="D8" s="30"/>
      <c r="E8" s="30"/>
      <c r="F8" s="30"/>
      <c r="G8" s="30"/>
    </row>
    <row r="9" customFormat="false" ht="12.75" hidden="false" customHeight="false" outlineLevel="0" collapsed="false">
      <c r="A9" s="310" t="s">
        <v>319</v>
      </c>
      <c r="B9" s="334"/>
      <c r="C9" s="15"/>
      <c r="D9" s="15"/>
      <c r="E9" s="15"/>
      <c r="F9" s="15"/>
      <c r="G9" s="187"/>
    </row>
    <row r="10" customFormat="false" ht="12.75" hidden="false" customHeight="false" outlineLevel="0" collapsed="false">
      <c r="A10" s="29" t="s">
        <v>320</v>
      </c>
      <c r="B10" s="30"/>
      <c r="C10" s="30"/>
      <c r="D10" s="196" t="n">
        <f aca="false">CF!D51</f>
        <v>7054.1</v>
      </c>
      <c r="E10" s="196" t="n">
        <f aca="false">CF!E51</f>
        <v>6153.182</v>
      </c>
      <c r="F10" s="196" t="n">
        <f aca="false">CF!F51</f>
        <v>5252.24564</v>
      </c>
      <c r="G10" s="197" t="n">
        <f aca="false">SUM(D10:F10)</f>
        <v>18459.52764</v>
      </c>
      <c r="H10" s="335" t="str">
        <f aca="false">IF(ABS($G$10-CF!$G$51)&lt;0.01," ","CHECK:  DOES NOT EQUAL EBDIT ON CF PAGE")</f>
        <v> </v>
      </c>
    </row>
    <row r="11" customFormat="false" ht="12.75" hidden="false" customHeight="false" outlineLevel="0" collapsed="false">
      <c r="A11" s="29" t="s">
        <v>321</v>
      </c>
      <c r="B11" s="30"/>
      <c r="C11" s="30"/>
      <c r="D11" s="196" t="n">
        <f aca="false">-DEPR!F18</f>
        <v>-487.5</v>
      </c>
      <c r="E11" s="196" t="n">
        <f aca="false">-DEPR!G18</f>
        <v>-938.47</v>
      </c>
      <c r="F11" s="196" t="n">
        <f aca="false">-DEPR!H18</f>
        <v>-866.71</v>
      </c>
      <c r="G11" s="197" t="n">
        <f aca="false">SUM(D11:F11)</f>
        <v>-2292.68</v>
      </c>
      <c r="H11" s="335" t="str">
        <f aca="false">IF(ABS(-$G$11-ASS!$I$19)&lt;0.01," ","CHECK:  DOES NOT MATCH TOTAL TAX DEPRECIABLE BASIS")</f>
        <v>CHECK:  DOES NOT MATCH TOTAL TAX DEPRECIABLE BASIS</v>
      </c>
    </row>
    <row r="12" customFormat="false" ht="12.75" hidden="false" customHeight="false" outlineLevel="0" collapsed="false">
      <c r="A12" s="29" t="s">
        <v>322</v>
      </c>
      <c r="B12" s="30"/>
      <c r="C12" s="30"/>
      <c r="D12" s="196" t="n">
        <f aca="false">-FIN!D10</f>
        <v>-0</v>
      </c>
      <c r="E12" s="196" t="n">
        <f aca="false">-FIN!E10</f>
        <v>-0</v>
      </c>
      <c r="F12" s="196" t="n">
        <f aca="false">-FIN!F10</f>
        <v>-0</v>
      </c>
      <c r="G12" s="197" t="n">
        <f aca="false">SUM(D12:F12)</f>
        <v>0</v>
      </c>
      <c r="H12" s="335" t="str">
        <f aca="false">IF(ABS(-$G$12-FIN!$AD$10)&lt;0.01," ","CHECK:  DOES NOT EQUAL TOTAL INTEREST PAYMENTS CALCULATED")</f>
        <v> </v>
      </c>
    </row>
    <row r="13" customFormat="false" ht="12.75" hidden="false" customHeight="false" outlineLevel="0" collapsed="false">
      <c r="A13" s="29" t="s">
        <v>323</v>
      </c>
      <c r="B13" s="30"/>
      <c r="C13" s="30"/>
      <c r="D13" s="234" t="n">
        <f aca="false">SUM(D10:D12)</f>
        <v>6566.6</v>
      </c>
      <c r="E13" s="234" t="n">
        <f aca="false">SUM(E10:E12)</f>
        <v>5214.712</v>
      </c>
      <c r="F13" s="234" t="n">
        <f aca="false">SUM(F10:F12)</f>
        <v>4385.53564</v>
      </c>
      <c r="G13" s="235" t="n">
        <f aca="false">SUM(D13:F13)</f>
        <v>16166.84764</v>
      </c>
    </row>
    <row r="14" customFormat="false" ht="12.75" hidden="false" customHeight="false" outlineLevel="0" collapsed="false">
      <c r="A14" s="29" t="s">
        <v>324</v>
      </c>
      <c r="B14" s="30"/>
      <c r="C14" s="30"/>
      <c r="D14" s="72" t="n">
        <f aca="false">TAX</f>
        <v>0.05</v>
      </c>
      <c r="E14" s="72" t="n">
        <f aca="false">TAX</f>
        <v>0.05</v>
      </c>
      <c r="F14" s="72" t="n">
        <f aca="false">TAX</f>
        <v>0.05</v>
      </c>
      <c r="G14" s="193"/>
    </row>
    <row r="15" customFormat="false" ht="12.75" hidden="false" customHeight="false" outlineLevel="0" collapsed="false">
      <c r="A15" s="29"/>
      <c r="B15" s="30"/>
      <c r="C15" s="30"/>
      <c r="D15" s="30"/>
      <c r="E15" s="30"/>
      <c r="F15" s="30"/>
      <c r="G15" s="193"/>
    </row>
    <row r="16" customFormat="false" ht="12.75" hidden="false" customHeight="false" outlineLevel="0" collapsed="false">
      <c r="A16" s="230" t="s">
        <v>325</v>
      </c>
      <c r="B16" s="336"/>
      <c r="C16" s="58"/>
      <c r="D16" s="337" t="n">
        <f aca="false">IF(D13&lt;0,0,D13*D14)</f>
        <v>328.33</v>
      </c>
      <c r="E16" s="337" t="n">
        <f aca="false">IF(E13&lt;0,0,E13*E14)</f>
        <v>260.7356</v>
      </c>
      <c r="F16" s="337" t="n">
        <f aca="false">IF(F13&lt;0,0,F13*F14)</f>
        <v>219.276782</v>
      </c>
      <c r="G16" s="338" t="n">
        <f aca="false">SUM(D16:F16)</f>
        <v>808.342382</v>
      </c>
    </row>
    <row r="19" customFormat="false" ht="12.75" hidden="false" customHeight="false" outlineLevel="0" collapsed="false">
      <c r="A19" s="310" t="s">
        <v>326</v>
      </c>
      <c r="B19" s="15"/>
      <c r="C19" s="15"/>
      <c r="D19" s="15"/>
      <c r="E19" s="15"/>
      <c r="F19" s="15"/>
      <c r="G19" s="15"/>
      <c r="H19" s="17"/>
      <c r="I19" s="30"/>
    </row>
    <row r="20" customFormat="false" ht="12.75" hidden="false" customHeight="false" outlineLevel="0" collapsed="false">
      <c r="A20" s="29"/>
      <c r="B20" s="30"/>
      <c r="C20" s="30"/>
      <c r="D20" s="135"/>
      <c r="E20" s="135" t="s">
        <v>327</v>
      </c>
      <c r="F20" s="135" t="s">
        <v>328</v>
      </c>
      <c r="G20" s="135"/>
      <c r="H20" s="339"/>
      <c r="I20" s="30"/>
    </row>
    <row r="21" customFormat="false" ht="12.75" hidden="false" customHeight="false" outlineLevel="0" collapsed="false">
      <c r="A21" s="29"/>
      <c r="B21" s="30"/>
      <c r="C21" s="30"/>
      <c r="D21" s="135" t="s">
        <v>329</v>
      </c>
      <c r="E21" s="135" t="s">
        <v>6</v>
      </c>
      <c r="F21" s="135" t="s">
        <v>6</v>
      </c>
      <c r="G21" s="135" t="s">
        <v>330</v>
      </c>
      <c r="H21" s="339" t="s">
        <v>331</v>
      </c>
      <c r="I21" s="30"/>
    </row>
    <row r="22" customFormat="false" ht="12.75" hidden="false" customHeight="false" outlineLevel="0" collapsed="false">
      <c r="A22" s="18"/>
      <c r="B22" s="340" t="s">
        <v>332</v>
      </c>
      <c r="C22" s="259" t="s">
        <v>258</v>
      </c>
      <c r="D22" s="341" t="s">
        <v>333</v>
      </c>
      <c r="E22" s="341" t="s">
        <v>334</v>
      </c>
      <c r="F22" s="341" t="s">
        <v>335</v>
      </c>
      <c r="G22" s="341" t="s">
        <v>333</v>
      </c>
      <c r="H22" s="342" t="s">
        <v>336</v>
      </c>
      <c r="I22" s="30"/>
    </row>
    <row r="23" customFormat="false" ht="12.75" hidden="false" customHeight="false" outlineLevel="0" collapsed="false">
      <c r="A23" s="57" t="s">
        <v>337</v>
      </c>
      <c r="B23" s="343" t="e">
        <f aca="false">(ASS!X37*ASS!X31+ASS!X45*ASS!X39+ASS!X53*ASS!X47+ASS!X61*ASS!X55+ASS!X69*ASS!X63+ASS!X77*ASS!X71)/(ASS!X71+ASS!X63+ASS!X55+ASS!X39+ASS!X31+ASS!$X$47)</f>
        <v>#DIV/0!</v>
      </c>
      <c r="C23" s="30" t="n">
        <v>1</v>
      </c>
      <c r="D23" s="304" t="n">
        <v>0</v>
      </c>
      <c r="E23" s="196" t="n">
        <f aca="false">DEBT</f>
        <v>0</v>
      </c>
      <c r="F23" s="196" t="n">
        <f aca="false">-HLOOKUP(C23,idc_table1,IDC!$L$26+1)</f>
        <v>-0</v>
      </c>
      <c r="G23" s="196" t="n">
        <f aca="false">SUM(D23:F23)</f>
        <v>0</v>
      </c>
      <c r="H23" s="75" t="e">
        <f aca="false">$B$23*(D23+E23)/12</f>
        <v>#DIV/0!</v>
      </c>
      <c r="I23" s="30"/>
      <c r="K23" s="1" t="s">
        <v>1</v>
      </c>
    </row>
    <row r="24" customFormat="false" ht="12.75" hidden="false" customHeight="false" outlineLevel="0" collapsed="false">
      <c r="A24" s="29"/>
      <c r="B24" s="30"/>
      <c r="C24" s="30" t="n">
        <f aca="false">C23+1</f>
        <v>2</v>
      </c>
      <c r="D24" s="196" t="n">
        <f aca="false">G23</f>
        <v>0</v>
      </c>
      <c r="E24" s="304" t="n">
        <v>0</v>
      </c>
      <c r="F24" s="196" t="n">
        <f aca="false">-HLOOKUP(C24,idc_table1,IDC!$L$26+1)+HLOOKUP(C23,idc_table1,IDC!$L$26+1)</f>
        <v>0</v>
      </c>
      <c r="G24" s="196" t="n">
        <f aca="false">SUM(D24:F24)</f>
        <v>0</v>
      </c>
      <c r="H24" s="75" t="e">
        <f aca="false">$B$23*(D24+E24)/12</f>
        <v>#DIV/0!</v>
      </c>
      <c r="I24" s="30"/>
    </row>
    <row r="25" customFormat="false" ht="12.75" hidden="false" customHeight="false" outlineLevel="0" collapsed="false">
      <c r="A25" s="29"/>
      <c r="B25" s="30"/>
      <c r="C25" s="30" t="n">
        <f aca="false">C24+1</f>
        <v>3</v>
      </c>
      <c r="D25" s="196" t="n">
        <f aca="false">G24</f>
        <v>0</v>
      </c>
      <c r="E25" s="304" t="n">
        <v>0</v>
      </c>
      <c r="F25" s="196" t="n">
        <f aca="false">-HLOOKUP(C25,idc_table1,IDC!$L$26+1)+HLOOKUP(C24,idc_table1,IDC!$L$26+1)</f>
        <v>0</v>
      </c>
      <c r="G25" s="196" t="n">
        <f aca="false">SUM(D25:F25)</f>
        <v>0</v>
      </c>
      <c r="H25" s="75" t="e">
        <f aca="false">$B$23*(D25+E25)/12</f>
        <v>#DIV/0!</v>
      </c>
      <c r="I25" s="30"/>
    </row>
    <row r="26" customFormat="false" ht="12.75" hidden="false" customHeight="false" outlineLevel="0" collapsed="false">
      <c r="A26" s="29"/>
      <c r="B26" s="30"/>
      <c r="C26" s="30" t="n">
        <f aca="false">C25+1</f>
        <v>4</v>
      </c>
      <c r="D26" s="196" t="n">
        <f aca="false">G25</f>
        <v>0</v>
      </c>
      <c r="E26" s="304" t="n">
        <v>0</v>
      </c>
      <c r="F26" s="196" t="n">
        <f aca="false">-HLOOKUP(C26,idc_table1,IDC!$L$26+1)+HLOOKUP(C25,idc_table1,IDC!$L$26+1)</f>
        <v>0</v>
      </c>
      <c r="G26" s="196" t="n">
        <f aca="false">SUM(D26:F26)</f>
        <v>0</v>
      </c>
      <c r="H26" s="75" t="e">
        <f aca="false">$B$23*(D26+E26)/12</f>
        <v>#DIV/0!</v>
      </c>
      <c r="I26" s="30"/>
    </row>
    <row r="27" customFormat="false" ht="12.75" hidden="false" customHeight="false" outlineLevel="0" collapsed="false">
      <c r="A27" s="29"/>
      <c r="B27" s="30"/>
      <c r="C27" s="30" t="n">
        <f aca="false">C26+1</f>
        <v>5</v>
      </c>
      <c r="D27" s="196" t="n">
        <f aca="false">G26</f>
        <v>0</v>
      </c>
      <c r="E27" s="304" t="n">
        <v>0</v>
      </c>
      <c r="F27" s="196" t="n">
        <f aca="false">-HLOOKUP(C27,idc_table1,IDC!$L$26+1)+HLOOKUP(C26,idc_table1,IDC!$L$26+1)</f>
        <v>0</v>
      </c>
      <c r="G27" s="196" t="n">
        <f aca="false">SUM(D27:F27)</f>
        <v>0</v>
      </c>
      <c r="H27" s="75" t="e">
        <f aca="false">$B$23*(D27+E27)/12</f>
        <v>#DIV/0!</v>
      </c>
      <c r="I27" s="30"/>
    </row>
    <row r="28" customFormat="false" ht="12.75" hidden="false" customHeight="false" outlineLevel="0" collapsed="false">
      <c r="A28" s="29"/>
      <c r="B28" s="30"/>
      <c r="C28" s="30" t="n">
        <f aca="false">C27+1</f>
        <v>6</v>
      </c>
      <c r="D28" s="196" t="n">
        <f aca="false">G27</f>
        <v>0</v>
      </c>
      <c r="E28" s="304" t="n">
        <v>0</v>
      </c>
      <c r="F28" s="196" t="n">
        <f aca="false">-HLOOKUP(C28,idc_table1,IDC!$L$26+1)+HLOOKUP(C27,idc_table1,IDC!$L$26+1)</f>
        <v>0</v>
      </c>
      <c r="G28" s="196" t="n">
        <f aca="false">SUM(D28:F28)</f>
        <v>0</v>
      </c>
      <c r="H28" s="75" t="e">
        <f aca="false">$B$23*(D28+E28)/12</f>
        <v>#DIV/0!</v>
      </c>
      <c r="I28" s="30"/>
    </row>
    <row r="29" customFormat="false" ht="13.5" hidden="false" customHeight="false" outlineLevel="0" collapsed="false">
      <c r="A29" s="29"/>
      <c r="B29" s="30"/>
      <c r="C29" s="30" t="n">
        <f aca="false">C28+1</f>
        <v>7</v>
      </c>
      <c r="D29" s="196" t="n">
        <f aca="false">G28</f>
        <v>0</v>
      </c>
      <c r="E29" s="304" t="n">
        <v>0</v>
      </c>
      <c r="F29" s="196" t="n">
        <f aca="false">-HLOOKUP(C29,idc_table1,IDC!$L$26+1)+HLOOKUP(C28,idc_table1,IDC!$L$26+1)</f>
        <v>0</v>
      </c>
      <c r="G29" s="196" t="n">
        <f aca="false">SUM(D29:F29)</f>
        <v>0</v>
      </c>
      <c r="H29" s="75" t="e">
        <f aca="false">$B$23*(D29+E29)/12</f>
        <v>#DIV/0!</v>
      </c>
      <c r="I29" s="30"/>
    </row>
    <row r="30" customFormat="false" ht="13.5" hidden="false" customHeight="false" outlineLevel="0" collapsed="false">
      <c r="A30" s="344" t="s">
        <v>338</v>
      </c>
      <c r="B30" s="345"/>
      <c r="C30" s="30" t="n">
        <f aca="false">C29+1</f>
        <v>8</v>
      </c>
      <c r="D30" s="196" t="n">
        <f aca="false">G29</f>
        <v>0</v>
      </c>
      <c r="E30" s="304" t="n">
        <v>0</v>
      </c>
      <c r="F30" s="196" t="n">
        <f aca="false">-HLOOKUP(C30,idc_table1,IDC!$L$26+1)+HLOOKUP(C29,idc_table1,IDC!$L$26+1)</f>
        <v>0</v>
      </c>
      <c r="G30" s="196" t="n">
        <f aca="false">SUM(D30:F30)</f>
        <v>0</v>
      </c>
      <c r="H30" s="75" t="e">
        <f aca="false">$B$23*(D30+E30)/12</f>
        <v>#DIV/0!</v>
      </c>
      <c r="I30" s="30"/>
    </row>
    <row r="31" customFormat="false" ht="13.5" hidden="false" customHeight="false" outlineLevel="0" collapsed="false">
      <c r="A31" s="346"/>
      <c r="B31" s="347" t="e">
        <f aca="false">SUM(H23:H82)</f>
        <v>#DIV/0!</v>
      </c>
      <c r="C31" s="30" t="n">
        <f aca="false">C30+1</f>
        <v>9</v>
      </c>
      <c r="D31" s="196" t="n">
        <f aca="false">G30</f>
        <v>0</v>
      </c>
      <c r="E31" s="304" t="n">
        <v>0</v>
      </c>
      <c r="F31" s="196" t="n">
        <f aca="false">-HLOOKUP(C31,idc_table1,IDC!$L$26+1)+HLOOKUP(C30,idc_table1,IDC!$L$26+1)</f>
        <v>0</v>
      </c>
      <c r="G31" s="196" t="n">
        <f aca="false">SUM(D31:F31)</f>
        <v>0</v>
      </c>
      <c r="H31" s="75" t="e">
        <f aca="false">$B$23*(D31+E31)/12</f>
        <v>#DIV/0!</v>
      </c>
      <c r="I31" s="30"/>
    </row>
    <row r="32" customFormat="false" ht="13.5" hidden="false" customHeight="false" outlineLevel="0" collapsed="false">
      <c r="A32" s="29"/>
      <c r="B32" s="30"/>
      <c r="C32" s="30" t="n">
        <f aca="false">C31+1</f>
        <v>10</v>
      </c>
      <c r="D32" s="196" t="n">
        <f aca="false">G31</f>
        <v>0</v>
      </c>
      <c r="E32" s="304" t="n">
        <v>0</v>
      </c>
      <c r="F32" s="196" t="n">
        <f aca="false">-HLOOKUP(C32,idc_table1,IDC!$L$26+1)+HLOOKUP(C31,idc_table1,IDC!$L$26+1)</f>
        <v>0</v>
      </c>
      <c r="G32" s="196" t="n">
        <f aca="false">SUM(D32:F32)</f>
        <v>0</v>
      </c>
      <c r="H32" s="75" t="e">
        <f aca="false">$B$23*(D32+E32)/12</f>
        <v>#DIV/0!</v>
      </c>
      <c r="I32" s="30"/>
    </row>
    <row r="33" customFormat="false" ht="12.75" hidden="false" customHeight="false" outlineLevel="0" collapsed="false">
      <c r="A33" s="29"/>
      <c r="B33" s="30"/>
      <c r="C33" s="30" t="n">
        <f aca="false">C32+1</f>
        <v>11</v>
      </c>
      <c r="D33" s="196" t="n">
        <f aca="false">G32</f>
        <v>0</v>
      </c>
      <c r="E33" s="304" t="n">
        <v>0</v>
      </c>
      <c r="F33" s="196" t="n">
        <f aca="false">-HLOOKUP(C33,idc_table1,IDC!$L$26+1)+HLOOKUP(C32,idc_table1,IDC!$L$26+1)</f>
        <v>0</v>
      </c>
      <c r="G33" s="196" t="n">
        <f aca="false">SUM(D33:F33)</f>
        <v>0</v>
      </c>
      <c r="H33" s="75" t="e">
        <f aca="false">$B$23*(D33+E33)/12</f>
        <v>#DIV/0!</v>
      </c>
      <c r="I33" s="30"/>
    </row>
    <row r="34" customFormat="false" ht="12.75" hidden="false" customHeight="false" outlineLevel="0" collapsed="false">
      <c r="A34" s="29"/>
      <c r="B34" s="30"/>
      <c r="C34" s="30" t="n">
        <f aca="false">C33+1</f>
        <v>12</v>
      </c>
      <c r="D34" s="196" t="n">
        <f aca="false">G33</f>
        <v>0</v>
      </c>
      <c r="E34" s="304" t="n">
        <v>0</v>
      </c>
      <c r="F34" s="196" t="n">
        <f aca="false">-HLOOKUP(C34,idc_table1,IDC!$L$26+1)+HLOOKUP(C33,idc_table1,IDC!$L$26+1)</f>
        <v>0</v>
      </c>
      <c r="G34" s="196" t="n">
        <f aca="false">SUM(D34:F34)</f>
        <v>0</v>
      </c>
      <c r="H34" s="75" t="e">
        <f aca="false">$B$23*(D34+E34)/12</f>
        <v>#DIV/0!</v>
      </c>
      <c r="I34" s="30"/>
    </row>
    <row r="35" customFormat="false" ht="12.75" hidden="false" customHeight="false" outlineLevel="0" collapsed="false">
      <c r="A35" s="29"/>
      <c r="B35" s="30"/>
      <c r="C35" s="30" t="n">
        <f aca="false">C34+1</f>
        <v>13</v>
      </c>
      <c r="D35" s="196" t="n">
        <f aca="false">G34</f>
        <v>0</v>
      </c>
      <c r="E35" s="304" t="n">
        <v>0</v>
      </c>
      <c r="F35" s="196" t="n">
        <f aca="false">-HLOOKUP(C35,idc_table1,IDC!$L$26+1)+HLOOKUP(C34,idc_table1,IDC!$L$26+1)</f>
        <v>0</v>
      </c>
      <c r="G35" s="196" t="n">
        <f aca="false">SUM(D35:F35)</f>
        <v>0</v>
      </c>
      <c r="H35" s="75" t="e">
        <f aca="false">$B$23*(D35+E35)/12</f>
        <v>#DIV/0!</v>
      </c>
      <c r="I35" s="30"/>
    </row>
    <row r="36" customFormat="false" ht="12.75" hidden="false" customHeight="false" outlineLevel="0" collapsed="false">
      <c r="A36" s="29"/>
      <c r="B36" s="30"/>
      <c r="C36" s="30" t="n">
        <f aca="false">C35+1</f>
        <v>14</v>
      </c>
      <c r="D36" s="196" t="n">
        <f aca="false">G35</f>
        <v>0</v>
      </c>
      <c r="E36" s="304" t="n">
        <v>0</v>
      </c>
      <c r="F36" s="196" t="n">
        <f aca="false">-HLOOKUP(C36,idc_table1,IDC!$L$26+1)+HLOOKUP(C35,idc_table1,IDC!$L$26+1)</f>
        <v>0</v>
      </c>
      <c r="G36" s="196" t="n">
        <f aca="false">SUM(D36:F36)</f>
        <v>0</v>
      </c>
      <c r="H36" s="75" t="e">
        <f aca="false">$B$23*(D36+E36)/12</f>
        <v>#DIV/0!</v>
      </c>
      <c r="I36" s="30"/>
    </row>
    <row r="37" customFormat="false" ht="12.75" hidden="false" customHeight="false" outlineLevel="0" collapsed="false">
      <c r="A37" s="29"/>
      <c r="B37" s="30"/>
      <c r="C37" s="30" t="n">
        <f aca="false">C36+1</f>
        <v>15</v>
      </c>
      <c r="D37" s="196" t="n">
        <f aca="false">G36</f>
        <v>0</v>
      </c>
      <c r="E37" s="304" t="n">
        <v>0</v>
      </c>
      <c r="F37" s="196" t="n">
        <f aca="false">-HLOOKUP(C37,idc_table1,IDC!$L$26+1)+HLOOKUP(C36,idc_table1,IDC!$L$26+1)</f>
        <v>0</v>
      </c>
      <c r="G37" s="196" t="n">
        <f aca="false">SUM(D37:F37)</f>
        <v>0</v>
      </c>
      <c r="H37" s="75" t="e">
        <f aca="false">$B$23*(D37+E37)/12</f>
        <v>#DIV/0!</v>
      </c>
      <c r="I37" s="30"/>
    </row>
    <row r="38" customFormat="false" ht="12.75" hidden="false" customHeight="false" outlineLevel="0" collapsed="false">
      <c r="A38" s="29"/>
      <c r="B38" s="30"/>
      <c r="C38" s="30" t="n">
        <f aca="false">C37+1</f>
        <v>16</v>
      </c>
      <c r="D38" s="196" t="n">
        <f aca="false">G37</f>
        <v>0</v>
      </c>
      <c r="E38" s="304" t="n">
        <v>0</v>
      </c>
      <c r="F38" s="196" t="n">
        <f aca="false">-HLOOKUP(C38,idc_table1,IDC!$L$26+1)+HLOOKUP(C37,idc_table1,IDC!$L$26+1)</f>
        <v>0</v>
      </c>
      <c r="G38" s="196" t="n">
        <f aca="false">SUM(D38:F38)</f>
        <v>0</v>
      </c>
      <c r="H38" s="75" t="e">
        <f aca="false">$B$23*(D38+E38)/12</f>
        <v>#DIV/0!</v>
      </c>
      <c r="I38" s="30"/>
    </row>
    <row r="39" customFormat="false" ht="12.75" hidden="false" customHeight="false" outlineLevel="0" collapsed="false">
      <c r="A39" s="29"/>
      <c r="B39" s="30"/>
      <c r="C39" s="30" t="n">
        <f aca="false">C38+1</f>
        <v>17</v>
      </c>
      <c r="D39" s="196" t="n">
        <f aca="false">G38</f>
        <v>0</v>
      </c>
      <c r="E39" s="304" t="n">
        <v>0</v>
      </c>
      <c r="F39" s="196" t="n">
        <f aca="false">-HLOOKUP(C39,idc_table1,IDC!$L$26+1)+HLOOKUP(C38,idc_table1,IDC!$L$26+1)</f>
        <v>0</v>
      </c>
      <c r="G39" s="196" t="n">
        <f aca="false">SUM(D39:F39)</f>
        <v>0</v>
      </c>
      <c r="H39" s="75" t="e">
        <f aca="false">$B$23*(D39+E39)/12</f>
        <v>#DIV/0!</v>
      </c>
      <c r="I39" s="30"/>
    </row>
    <row r="40" customFormat="false" ht="12.75" hidden="false" customHeight="false" outlineLevel="0" collapsed="false">
      <c r="A40" s="29"/>
      <c r="B40" s="30"/>
      <c r="C40" s="30" t="n">
        <f aca="false">C39+1</f>
        <v>18</v>
      </c>
      <c r="D40" s="196" t="n">
        <f aca="false">G39</f>
        <v>0</v>
      </c>
      <c r="E40" s="304" t="n">
        <v>0</v>
      </c>
      <c r="F40" s="196" t="n">
        <f aca="false">-HLOOKUP(C40,idc_table1,IDC!$L$26+1)+HLOOKUP(C39,idc_table1,IDC!$L$26+1)</f>
        <v>0</v>
      </c>
      <c r="G40" s="196" t="n">
        <f aca="false">SUM(D40:F40)</f>
        <v>0</v>
      </c>
      <c r="H40" s="75" t="e">
        <f aca="false">$B$23*(D40+E40)/12</f>
        <v>#DIV/0!</v>
      </c>
      <c r="I40" s="30"/>
    </row>
    <row r="41" customFormat="false" ht="12.75" hidden="false" customHeight="false" outlineLevel="0" collapsed="false">
      <c r="A41" s="29"/>
      <c r="B41" s="30"/>
      <c r="C41" s="30" t="n">
        <f aca="false">C40+1</f>
        <v>19</v>
      </c>
      <c r="D41" s="196" t="n">
        <f aca="false">G40</f>
        <v>0</v>
      </c>
      <c r="E41" s="304" t="n">
        <v>0</v>
      </c>
      <c r="F41" s="196" t="n">
        <f aca="false">-HLOOKUP(C41,idc_table1,IDC!$L$26+1)+HLOOKUP(C40,idc_table1,IDC!$L$26+1)</f>
        <v>0</v>
      </c>
      <c r="G41" s="196" t="n">
        <f aca="false">SUM(D41:F41)</f>
        <v>0</v>
      </c>
      <c r="H41" s="75" t="e">
        <f aca="false">$B$23*(D41+E41)/12</f>
        <v>#DIV/0!</v>
      </c>
      <c r="I41" s="30"/>
    </row>
    <row r="42" customFormat="false" ht="12.75" hidden="false" customHeight="false" outlineLevel="0" collapsed="false">
      <c r="A42" s="29"/>
      <c r="B42" s="30"/>
      <c r="C42" s="30" t="n">
        <f aca="false">C41+1</f>
        <v>20</v>
      </c>
      <c r="D42" s="196" t="n">
        <f aca="false">G41</f>
        <v>0</v>
      </c>
      <c r="E42" s="304" t="n">
        <v>0</v>
      </c>
      <c r="F42" s="196" t="n">
        <f aca="false">-HLOOKUP(C42,idc_table1,IDC!$L$26+1)+HLOOKUP(C41,idc_table1,IDC!$L$26+1)</f>
        <v>0</v>
      </c>
      <c r="G42" s="196" t="n">
        <f aca="false">SUM(D42:F42)</f>
        <v>0</v>
      </c>
      <c r="H42" s="75" t="e">
        <f aca="false">$B$23*(D42+E42)/12</f>
        <v>#DIV/0!</v>
      </c>
      <c r="I42" s="30"/>
    </row>
    <row r="43" customFormat="false" ht="12.75" hidden="false" customHeight="false" outlineLevel="0" collapsed="false">
      <c r="A43" s="29"/>
      <c r="B43" s="30"/>
      <c r="C43" s="30" t="n">
        <f aca="false">C42+1</f>
        <v>21</v>
      </c>
      <c r="D43" s="196" t="n">
        <f aca="false">G42</f>
        <v>0</v>
      </c>
      <c r="E43" s="304" t="n">
        <v>0</v>
      </c>
      <c r="F43" s="196" t="n">
        <f aca="false">-HLOOKUP(C43,idc_table1,IDC!$L$26+1)+HLOOKUP(C42,idc_table1,IDC!$L$26+1)</f>
        <v>0</v>
      </c>
      <c r="G43" s="196" t="n">
        <f aca="false">SUM(D43:F43)</f>
        <v>0</v>
      </c>
      <c r="H43" s="75" t="e">
        <f aca="false">$B$23*(D43+E43)/12</f>
        <v>#DIV/0!</v>
      </c>
      <c r="I43" s="30"/>
    </row>
    <row r="44" customFormat="false" ht="12.75" hidden="false" customHeight="false" outlineLevel="0" collapsed="false">
      <c r="A44" s="29"/>
      <c r="B44" s="30"/>
      <c r="C44" s="30" t="n">
        <f aca="false">C43+1</f>
        <v>22</v>
      </c>
      <c r="D44" s="196" t="n">
        <f aca="false">G43</f>
        <v>0</v>
      </c>
      <c r="E44" s="304" t="n">
        <v>0</v>
      </c>
      <c r="F44" s="196" t="n">
        <f aca="false">-HLOOKUP(C44,idc_table1,IDC!$L$26+1)+HLOOKUP(C43,idc_table1,IDC!$L$26+1)</f>
        <v>0</v>
      </c>
      <c r="G44" s="196" t="n">
        <f aca="false">SUM(D44:F44)</f>
        <v>0</v>
      </c>
      <c r="H44" s="75" t="e">
        <f aca="false">$B$23*(D44+E44)/12</f>
        <v>#DIV/0!</v>
      </c>
      <c r="I44" s="30"/>
    </row>
    <row r="45" customFormat="false" ht="12.75" hidden="false" customHeight="false" outlineLevel="0" collapsed="false">
      <c r="A45" s="29"/>
      <c r="B45" s="30"/>
      <c r="C45" s="30" t="n">
        <f aca="false">C44+1</f>
        <v>23</v>
      </c>
      <c r="D45" s="196" t="n">
        <f aca="false">G44</f>
        <v>0</v>
      </c>
      <c r="E45" s="304" t="n">
        <v>0</v>
      </c>
      <c r="F45" s="196" t="n">
        <f aca="false">-HLOOKUP(C45,idc_table1,IDC!$L$26+1)+HLOOKUP(C44,idc_table1,IDC!$L$26+1)</f>
        <v>0</v>
      </c>
      <c r="G45" s="196" t="n">
        <f aca="false">SUM(D45:F45)</f>
        <v>0</v>
      </c>
      <c r="H45" s="75" t="e">
        <f aca="false">$B$23*(D45+E45)/12</f>
        <v>#DIV/0!</v>
      </c>
      <c r="I45" s="30"/>
    </row>
    <row r="46" customFormat="false" ht="12.75" hidden="false" customHeight="false" outlineLevel="0" collapsed="false">
      <c r="A46" s="29"/>
      <c r="B46" s="30"/>
      <c r="C46" s="30" t="n">
        <f aca="false">C45+1</f>
        <v>24</v>
      </c>
      <c r="D46" s="196" t="n">
        <f aca="false">G45</f>
        <v>0</v>
      </c>
      <c r="E46" s="304" t="n">
        <v>0</v>
      </c>
      <c r="F46" s="196" t="n">
        <f aca="false">-HLOOKUP(C46,idc_table1,IDC!$L$26+1)+HLOOKUP(C45,idc_table1,IDC!$L$26+1)</f>
        <v>0</v>
      </c>
      <c r="G46" s="196" t="n">
        <f aca="false">SUM(D46:F46)</f>
        <v>0</v>
      </c>
      <c r="H46" s="75" t="e">
        <f aca="false">$B$23*(D46+E46)/12</f>
        <v>#DIV/0!</v>
      </c>
      <c r="I46" s="30"/>
    </row>
    <row r="47" customFormat="false" ht="12.75" hidden="false" customHeight="false" outlineLevel="0" collapsed="false">
      <c r="A47" s="29"/>
      <c r="B47" s="30"/>
      <c r="C47" s="30" t="n">
        <f aca="false">C46+1</f>
        <v>25</v>
      </c>
      <c r="D47" s="196" t="n">
        <f aca="false">G46</f>
        <v>0</v>
      </c>
      <c r="E47" s="304" t="n">
        <v>0</v>
      </c>
      <c r="F47" s="196" t="n">
        <f aca="false">-HLOOKUP(C47,idc_table1,IDC!$L$26+1)+HLOOKUP(C46,idc_table1,IDC!$L$26+1)</f>
        <v>0</v>
      </c>
      <c r="G47" s="196" t="n">
        <f aca="false">SUM(D47:F47)</f>
        <v>0</v>
      </c>
      <c r="H47" s="75" t="e">
        <f aca="false">$B$23*(D47+E47)/12</f>
        <v>#DIV/0!</v>
      </c>
      <c r="I47" s="30"/>
    </row>
    <row r="48" customFormat="false" ht="12.75" hidden="false" customHeight="false" outlineLevel="0" collapsed="false">
      <c r="A48" s="29"/>
      <c r="B48" s="30"/>
      <c r="C48" s="30" t="n">
        <f aca="false">C47+1</f>
        <v>26</v>
      </c>
      <c r="D48" s="196" t="n">
        <f aca="false">G47</f>
        <v>0</v>
      </c>
      <c r="E48" s="304" t="n">
        <v>0</v>
      </c>
      <c r="F48" s="196" t="n">
        <f aca="false">-HLOOKUP(C48,idc_table1,IDC!$L$26+1)+HLOOKUP(C47,idc_table1,IDC!$L$26+1)</f>
        <v>0</v>
      </c>
      <c r="G48" s="196" t="n">
        <f aca="false">SUM(D48:F48)</f>
        <v>0</v>
      </c>
      <c r="H48" s="75" t="e">
        <f aca="false">$B$23*(D48+E48)/12</f>
        <v>#DIV/0!</v>
      </c>
      <c r="I48" s="30"/>
    </row>
    <row r="49" customFormat="false" ht="12.75" hidden="false" customHeight="false" outlineLevel="0" collapsed="false">
      <c r="A49" s="29"/>
      <c r="B49" s="30"/>
      <c r="C49" s="30" t="n">
        <f aca="false">C48+1</f>
        <v>27</v>
      </c>
      <c r="D49" s="196" t="n">
        <f aca="false">G48</f>
        <v>0</v>
      </c>
      <c r="E49" s="304" t="n">
        <v>0</v>
      </c>
      <c r="F49" s="196" t="n">
        <f aca="false">-HLOOKUP(C49,idc_table1,IDC!$L$26+1)+HLOOKUP(C48,idc_table1,IDC!$L$26+1)</f>
        <v>0</v>
      </c>
      <c r="G49" s="196" t="n">
        <f aca="false">SUM(D49:F49)</f>
        <v>0</v>
      </c>
      <c r="H49" s="75" t="e">
        <f aca="false">$B$23*(D49+E49)/12</f>
        <v>#DIV/0!</v>
      </c>
      <c r="I49" s="30"/>
    </row>
    <row r="50" customFormat="false" ht="12.75" hidden="false" customHeight="false" outlineLevel="0" collapsed="false">
      <c r="A50" s="29"/>
      <c r="B50" s="30"/>
      <c r="C50" s="30" t="n">
        <f aca="false">C49+1</f>
        <v>28</v>
      </c>
      <c r="D50" s="196" t="n">
        <f aca="false">G49</f>
        <v>0</v>
      </c>
      <c r="E50" s="304" t="n">
        <v>0</v>
      </c>
      <c r="F50" s="196" t="n">
        <f aca="false">-HLOOKUP(C50,idc_table1,IDC!$L$26+1)+HLOOKUP(C49,idc_table1,IDC!$L$26+1)</f>
        <v>0</v>
      </c>
      <c r="G50" s="196" t="n">
        <f aca="false">SUM(D50:F50)</f>
        <v>0</v>
      </c>
      <c r="H50" s="75" t="e">
        <f aca="false">$B$23*(D50+E50)/12</f>
        <v>#DIV/0!</v>
      </c>
      <c r="I50" s="30"/>
    </row>
    <row r="51" customFormat="false" ht="12.75" hidden="false" customHeight="false" outlineLevel="0" collapsed="false">
      <c r="A51" s="29"/>
      <c r="B51" s="30"/>
      <c r="C51" s="30" t="n">
        <f aca="false">C50+1</f>
        <v>29</v>
      </c>
      <c r="D51" s="196" t="n">
        <f aca="false">G50</f>
        <v>0</v>
      </c>
      <c r="E51" s="304" t="n">
        <v>0</v>
      </c>
      <c r="F51" s="196" t="n">
        <f aca="false">-HLOOKUP(C51,idc_table1,IDC!$L$26+1)+HLOOKUP(C50,idc_table1,IDC!$L$26+1)</f>
        <v>0</v>
      </c>
      <c r="G51" s="196" t="n">
        <f aca="false">SUM(D51:F51)</f>
        <v>0</v>
      </c>
      <c r="H51" s="75" t="e">
        <f aca="false">$B$23*(D51+E51)/12</f>
        <v>#DIV/0!</v>
      </c>
      <c r="I51" s="30"/>
    </row>
    <row r="52" customFormat="false" ht="12.75" hidden="false" customHeight="false" outlineLevel="0" collapsed="false">
      <c r="A52" s="29"/>
      <c r="B52" s="30"/>
      <c r="C52" s="30" t="n">
        <f aca="false">C51+1</f>
        <v>30</v>
      </c>
      <c r="D52" s="196" t="n">
        <f aca="false">G51</f>
        <v>0</v>
      </c>
      <c r="E52" s="304" t="n">
        <v>0</v>
      </c>
      <c r="F52" s="196" t="n">
        <f aca="false">-HLOOKUP(C52,idc_table1,IDC!$L$26+1)+HLOOKUP(C51,idc_table1,IDC!$L$26+1)</f>
        <v>0</v>
      </c>
      <c r="G52" s="196" t="n">
        <f aca="false">SUM(D52:F52)</f>
        <v>0</v>
      </c>
      <c r="H52" s="75" t="e">
        <f aca="false">$B$23*(D52+E52)/12</f>
        <v>#DIV/0!</v>
      </c>
      <c r="I52" s="30"/>
    </row>
    <row r="53" customFormat="false" ht="12.75" hidden="false" customHeight="false" outlineLevel="0" collapsed="false">
      <c r="A53" s="29"/>
      <c r="B53" s="30"/>
      <c r="C53" s="30" t="n">
        <f aca="false">C52+1</f>
        <v>31</v>
      </c>
      <c r="D53" s="196" t="n">
        <f aca="false">G52</f>
        <v>0</v>
      </c>
      <c r="E53" s="304" t="n">
        <v>0</v>
      </c>
      <c r="F53" s="196" t="n">
        <f aca="false">-HLOOKUP(C53,idc_table1,IDC!$L$26+1)+HLOOKUP(C52,idc_table1,IDC!$L$26+1)</f>
        <v>0</v>
      </c>
      <c r="G53" s="196" t="n">
        <f aca="false">SUM(D53:F53)</f>
        <v>0</v>
      </c>
      <c r="H53" s="75" t="e">
        <f aca="false">$B$23*(D53+E53)/12</f>
        <v>#DIV/0!</v>
      </c>
      <c r="I53" s="30"/>
    </row>
    <row r="54" customFormat="false" ht="12.75" hidden="false" customHeight="false" outlineLevel="0" collapsed="false">
      <c r="A54" s="29"/>
      <c r="B54" s="30"/>
      <c r="C54" s="30" t="n">
        <f aca="false">C53+1</f>
        <v>32</v>
      </c>
      <c r="D54" s="196" t="n">
        <f aca="false">G53</f>
        <v>0</v>
      </c>
      <c r="E54" s="304" t="n">
        <v>0</v>
      </c>
      <c r="F54" s="196" t="n">
        <f aca="false">-HLOOKUP(C54,idc_table1,IDC!$L$26+1)+HLOOKUP(C53,idc_table1,IDC!$L$26+1)</f>
        <v>0</v>
      </c>
      <c r="G54" s="196" t="n">
        <f aca="false">SUM(D54:F54)</f>
        <v>0</v>
      </c>
      <c r="H54" s="75" t="e">
        <f aca="false">$B$23*(D54+E54)/12</f>
        <v>#DIV/0!</v>
      </c>
      <c r="I54" s="30"/>
    </row>
    <row r="55" customFormat="false" ht="12.75" hidden="false" customHeight="false" outlineLevel="0" collapsed="false">
      <c r="A55" s="29"/>
      <c r="B55" s="30"/>
      <c r="C55" s="30" t="n">
        <f aca="false">C54+1</f>
        <v>33</v>
      </c>
      <c r="D55" s="196" t="n">
        <f aca="false">G54</f>
        <v>0</v>
      </c>
      <c r="E55" s="304" t="n">
        <v>0</v>
      </c>
      <c r="F55" s="196" t="n">
        <f aca="false">-HLOOKUP(C55,idc_table1,IDC!$L$26+1)+HLOOKUP(C54,idc_table1,IDC!$L$26+1)</f>
        <v>0</v>
      </c>
      <c r="G55" s="196" t="n">
        <f aca="false">SUM(D55:F55)</f>
        <v>0</v>
      </c>
      <c r="H55" s="75" t="e">
        <f aca="false">$B$23*(D55+E55)/12</f>
        <v>#DIV/0!</v>
      </c>
      <c r="I55" s="30"/>
    </row>
    <row r="56" customFormat="false" ht="12.75" hidden="false" customHeight="false" outlineLevel="0" collapsed="false">
      <c r="A56" s="29"/>
      <c r="B56" s="30"/>
      <c r="C56" s="30" t="n">
        <f aca="false">C55+1</f>
        <v>34</v>
      </c>
      <c r="D56" s="196" t="n">
        <f aca="false">G55</f>
        <v>0</v>
      </c>
      <c r="E56" s="304" t="n">
        <v>0</v>
      </c>
      <c r="F56" s="196" t="n">
        <f aca="false">-HLOOKUP(C56,idc_table1,IDC!$L$26+1)+HLOOKUP(C55,idc_table1,IDC!$L$26+1)</f>
        <v>0</v>
      </c>
      <c r="G56" s="196" t="n">
        <f aca="false">SUM(D56:F56)</f>
        <v>0</v>
      </c>
      <c r="H56" s="75" t="e">
        <f aca="false">$B$23*(D56+E56)/12</f>
        <v>#DIV/0!</v>
      </c>
      <c r="I56" s="30"/>
    </row>
    <row r="57" customFormat="false" ht="12.75" hidden="false" customHeight="false" outlineLevel="0" collapsed="false">
      <c r="A57" s="29"/>
      <c r="B57" s="30"/>
      <c r="C57" s="30" t="n">
        <f aca="false">C56+1</f>
        <v>35</v>
      </c>
      <c r="D57" s="196" t="n">
        <f aca="false">G56</f>
        <v>0</v>
      </c>
      <c r="E57" s="304" t="n">
        <v>0</v>
      </c>
      <c r="F57" s="196" t="n">
        <f aca="false">-HLOOKUP(C57,idc_table1,IDC!$L$26+1)+HLOOKUP(C56,idc_table1,IDC!$L$26+1)</f>
        <v>0</v>
      </c>
      <c r="G57" s="196" t="n">
        <f aca="false">SUM(D57:F57)</f>
        <v>0</v>
      </c>
      <c r="H57" s="75" t="e">
        <f aca="false">$B$23*(D57+E57)/12</f>
        <v>#DIV/0!</v>
      </c>
      <c r="I57" s="30"/>
    </row>
    <row r="58" customFormat="false" ht="12.75" hidden="false" customHeight="false" outlineLevel="0" collapsed="false">
      <c r="A58" s="29"/>
      <c r="B58" s="30"/>
      <c r="C58" s="30" t="n">
        <f aca="false">C57+1</f>
        <v>36</v>
      </c>
      <c r="D58" s="196" t="n">
        <f aca="false">G57</f>
        <v>0</v>
      </c>
      <c r="E58" s="304" t="n">
        <v>0</v>
      </c>
      <c r="F58" s="196" t="n">
        <f aca="false">-HLOOKUP(C58,idc_table1,IDC!$L$26+1)+HLOOKUP(C57,idc_table1,IDC!$L$26+1)</f>
        <v>0</v>
      </c>
      <c r="G58" s="196" t="n">
        <f aca="false">SUM(D58:F58)</f>
        <v>0</v>
      </c>
      <c r="H58" s="75" t="e">
        <f aca="false">$B$23*(D58+E58)/12</f>
        <v>#DIV/0!</v>
      </c>
      <c r="I58" s="30"/>
    </row>
    <row r="59" customFormat="false" ht="12.75" hidden="false" customHeight="false" outlineLevel="0" collapsed="false">
      <c r="A59" s="29"/>
      <c r="B59" s="30"/>
      <c r="C59" s="30" t="n">
        <f aca="false">C58+1</f>
        <v>37</v>
      </c>
      <c r="D59" s="196" t="n">
        <f aca="false">G58</f>
        <v>0</v>
      </c>
      <c r="E59" s="304" t="n">
        <v>0</v>
      </c>
      <c r="F59" s="196" t="n">
        <f aca="false">-HLOOKUP(C59,idc_table1,IDC!$L$26+1)+HLOOKUP(C58,idc_table1,IDC!$L$26+1)</f>
        <v>0</v>
      </c>
      <c r="G59" s="196" t="n">
        <f aca="false">SUM(D59:F59)</f>
        <v>0</v>
      </c>
      <c r="H59" s="75" t="e">
        <f aca="false">$B$23*(D59+E59)/12</f>
        <v>#DIV/0!</v>
      </c>
      <c r="I59" s="30"/>
    </row>
    <row r="60" customFormat="false" ht="12.75" hidden="false" customHeight="false" outlineLevel="0" collapsed="false">
      <c r="A60" s="29"/>
      <c r="B60" s="30"/>
      <c r="C60" s="30" t="n">
        <f aca="false">C59+1</f>
        <v>38</v>
      </c>
      <c r="D60" s="196" t="n">
        <f aca="false">G59</f>
        <v>0</v>
      </c>
      <c r="E60" s="304" t="n">
        <v>0</v>
      </c>
      <c r="F60" s="196" t="n">
        <f aca="false">-HLOOKUP(C60,idc_table1,IDC!$L$26+1)+HLOOKUP(C59,idc_table1,IDC!$L$26+1)</f>
        <v>0</v>
      </c>
      <c r="G60" s="196" t="n">
        <f aca="false">SUM(D60:F60)</f>
        <v>0</v>
      </c>
      <c r="H60" s="75" t="e">
        <f aca="false">$B$23*(D60+E60)/12</f>
        <v>#DIV/0!</v>
      </c>
      <c r="I60" s="30"/>
    </row>
    <row r="61" customFormat="false" ht="12.75" hidden="false" customHeight="false" outlineLevel="0" collapsed="false">
      <c r="A61" s="29"/>
      <c r="B61" s="30"/>
      <c r="C61" s="30" t="n">
        <f aca="false">C60+1</f>
        <v>39</v>
      </c>
      <c r="D61" s="196" t="n">
        <f aca="false">G60</f>
        <v>0</v>
      </c>
      <c r="E61" s="304" t="n">
        <v>0</v>
      </c>
      <c r="F61" s="196" t="n">
        <f aca="false">-HLOOKUP(C61,idc_table1,IDC!$L$26+1)+HLOOKUP(C60,idc_table1,IDC!$L$26+1)</f>
        <v>0</v>
      </c>
      <c r="G61" s="196" t="n">
        <f aca="false">SUM(D61:F61)</f>
        <v>0</v>
      </c>
      <c r="H61" s="75" t="e">
        <f aca="false">$B$23*(D61+E61)/12</f>
        <v>#DIV/0!</v>
      </c>
      <c r="I61" s="30"/>
    </row>
    <row r="62" customFormat="false" ht="12.75" hidden="false" customHeight="false" outlineLevel="0" collapsed="false">
      <c r="A62" s="29"/>
      <c r="B62" s="30"/>
      <c r="C62" s="30" t="n">
        <f aca="false">C61+1</f>
        <v>40</v>
      </c>
      <c r="D62" s="196" t="n">
        <f aca="false">G61</f>
        <v>0</v>
      </c>
      <c r="E62" s="304" t="n">
        <v>0</v>
      </c>
      <c r="F62" s="196" t="n">
        <f aca="false">-HLOOKUP(C62,idc_table1,IDC!$L$26+1)+HLOOKUP(C61,idc_table1,IDC!$L$26+1)</f>
        <v>0</v>
      </c>
      <c r="G62" s="196" t="n">
        <f aca="false">SUM(D62:F62)</f>
        <v>0</v>
      </c>
      <c r="H62" s="75" t="e">
        <f aca="false">$B$23*(D62+E62)/12</f>
        <v>#DIV/0!</v>
      </c>
      <c r="I62" s="30"/>
    </row>
    <row r="63" customFormat="false" ht="12.75" hidden="false" customHeight="false" outlineLevel="0" collapsed="false">
      <c r="A63" s="29"/>
      <c r="B63" s="30"/>
      <c r="C63" s="30" t="n">
        <f aca="false">C62+1</f>
        <v>41</v>
      </c>
      <c r="D63" s="196" t="n">
        <f aca="false">G62</f>
        <v>0</v>
      </c>
      <c r="E63" s="304" t="n">
        <v>0</v>
      </c>
      <c r="F63" s="196" t="n">
        <f aca="false">-HLOOKUP(C63,idc_table1,IDC!$L$26+1)+HLOOKUP(C62,idc_table1,IDC!$L$26+1)</f>
        <v>0</v>
      </c>
      <c r="G63" s="196" t="n">
        <f aca="false">SUM(D63:F63)</f>
        <v>0</v>
      </c>
      <c r="H63" s="75" t="e">
        <f aca="false">$B$23*(D63+E63)/12</f>
        <v>#DIV/0!</v>
      </c>
      <c r="I63" s="30"/>
    </row>
    <row r="64" customFormat="false" ht="12.75" hidden="false" customHeight="false" outlineLevel="0" collapsed="false">
      <c r="A64" s="29"/>
      <c r="B64" s="30"/>
      <c r="C64" s="30" t="n">
        <f aca="false">C63+1</f>
        <v>42</v>
      </c>
      <c r="D64" s="196" t="n">
        <f aca="false">G63</f>
        <v>0</v>
      </c>
      <c r="E64" s="304" t="n">
        <v>0</v>
      </c>
      <c r="F64" s="196" t="n">
        <f aca="false">-HLOOKUP(C64,idc_table1,IDC!$L$26+1)+HLOOKUP(C63,idc_table1,IDC!$L$26+1)</f>
        <v>0</v>
      </c>
      <c r="G64" s="196" t="n">
        <f aca="false">SUM(D64:F64)</f>
        <v>0</v>
      </c>
      <c r="H64" s="75" t="e">
        <f aca="false">$B$23*(D64+E64)/12</f>
        <v>#DIV/0!</v>
      </c>
      <c r="I64" s="30"/>
    </row>
    <row r="65" customFormat="false" ht="12.75" hidden="false" customHeight="false" outlineLevel="0" collapsed="false">
      <c r="A65" s="29"/>
      <c r="B65" s="30"/>
      <c r="C65" s="30" t="n">
        <f aca="false">C64+1</f>
        <v>43</v>
      </c>
      <c r="D65" s="196" t="n">
        <f aca="false">G64</f>
        <v>0</v>
      </c>
      <c r="E65" s="304" t="n">
        <v>0</v>
      </c>
      <c r="F65" s="196" t="n">
        <f aca="false">-HLOOKUP(C65,idc_table1,IDC!$L$26+1)+HLOOKUP(C64,idc_table1,IDC!$L$26+1)</f>
        <v>0</v>
      </c>
      <c r="G65" s="196" t="n">
        <f aca="false">SUM(D65:F65)</f>
        <v>0</v>
      </c>
      <c r="H65" s="75" t="e">
        <f aca="false">$B$23*(D65+E65)/12</f>
        <v>#DIV/0!</v>
      </c>
      <c r="I65" s="30"/>
    </row>
    <row r="66" customFormat="false" ht="12.75" hidden="false" customHeight="false" outlineLevel="0" collapsed="false">
      <c r="A66" s="29"/>
      <c r="B66" s="30"/>
      <c r="C66" s="30" t="n">
        <f aca="false">C65+1</f>
        <v>44</v>
      </c>
      <c r="D66" s="196" t="n">
        <f aca="false">G65</f>
        <v>0</v>
      </c>
      <c r="E66" s="304" t="n">
        <v>0</v>
      </c>
      <c r="F66" s="196" t="n">
        <f aca="false">-HLOOKUP(C66,idc_table1,IDC!$L$26+1)+HLOOKUP(C65,idc_table1,IDC!$L$26+1)</f>
        <v>0</v>
      </c>
      <c r="G66" s="196" t="n">
        <f aca="false">SUM(D66:F66)</f>
        <v>0</v>
      </c>
      <c r="H66" s="75" t="e">
        <f aca="false">$B$23*(D66+E66)/12</f>
        <v>#DIV/0!</v>
      </c>
      <c r="I66" s="30"/>
    </row>
    <row r="67" customFormat="false" ht="12.75" hidden="false" customHeight="false" outlineLevel="0" collapsed="false">
      <c r="A67" s="29"/>
      <c r="B67" s="30"/>
      <c r="C67" s="30" t="n">
        <f aca="false">C66+1</f>
        <v>45</v>
      </c>
      <c r="D67" s="196" t="n">
        <f aca="false">G66</f>
        <v>0</v>
      </c>
      <c r="E67" s="304" t="n">
        <v>0</v>
      </c>
      <c r="F67" s="196" t="n">
        <f aca="false">-HLOOKUP(C67,idc_table1,IDC!$L$26+1)+HLOOKUP(C66,idc_table1,IDC!$L$26+1)</f>
        <v>0</v>
      </c>
      <c r="G67" s="196" t="n">
        <f aca="false">SUM(D67:F67)</f>
        <v>0</v>
      </c>
      <c r="H67" s="75" t="e">
        <f aca="false">$B$23*(D67+E67)/12</f>
        <v>#DIV/0!</v>
      </c>
      <c r="I67" s="30"/>
    </row>
    <row r="68" customFormat="false" ht="12.75" hidden="false" customHeight="false" outlineLevel="0" collapsed="false">
      <c r="A68" s="29"/>
      <c r="B68" s="30"/>
      <c r="C68" s="30" t="n">
        <f aca="false">C67+1</f>
        <v>46</v>
      </c>
      <c r="D68" s="196" t="n">
        <f aca="false">G67</f>
        <v>0</v>
      </c>
      <c r="E68" s="304" t="n">
        <v>0</v>
      </c>
      <c r="F68" s="196" t="n">
        <f aca="false">-HLOOKUP(C68,idc_table1,IDC!$L$26+1)+HLOOKUP(C67,idc_table1,IDC!$L$26+1)</f>
        <v>0</v>
      </c>
      <c r="G68" s="196" t="n">
        <f aca="false">SUM(D68:F68)</f>
        <v>0</v>
      </c>
      <c r="H68" s="75" t="e">
        <f aca="false">$B$23*(D68+E68)/12</f>
        <v>#DIV/0!</v>
      </c>
      <c r="I68" s="30"/>
    </row>
    <row r="69" customFormat="false" ht="12.75" hidden="false" customHeight="false" outlineLevel="0" collapsed="false">
      <c r="A69" s="29"/>
      <c r="B69" s="30"/>
      <c r="C69" s="30" t="n">
        <f aca="false">C68+1</f>
        <v>47</v>
      </c>
      <c r="D69" s="196" t="n">
        <f aca="false">G68</f>
        <v>0</v>
      </c>
      <c r="E69" s="304" t="n">
        <v>0</v>
      </c>
      <c r="F69" s="196" t="n">
        <f aca="false">-HLOOKUP(C69,idc_table1,IDC!$L$26+1)+HLOOKUP(C68,idc_table1,IDC!$L$26+1)</f>
        <v>0</v>
      </c>
      <c r="G69" s="196" t="n">
        <f aca="false">SUM(D69:F69)</f>
        <v>0</v>
      </c>
      <c r="H69" s="75" t="e">
        <f aca="false">$B$23*(D69+E69)/12</f>
        <v>#DIV/0!</v>
      </c>
      <c r="I69" s="30"/>
    </row>
    <row r="70" customFormat="false" ht="12.75" hidden="false" customHeight="false" outlineLevel="0" collapsed="false">
      <c r="A70" s="29"/>
      <c r="B70" s="30"/>
      <c r="C70" s="30" t="n">
        <f aca="false">C69+1</f>
        <v>48</v>
      </c>
      <c r="D70" s="196" t="n">
        <f aca="false">G69</f>
        <v>0</v>
      </c>
      <c r="E70" s="304" t="n">
        <v>0</v>
      </c>
      <c r="F70" s="196" t="n">
        <f aca="false">-HLOOKUP(C70,idc_table1,IDC!$L$26+1)+HLOOKUP(C69,idc_table1,IDC!$L$26+1)</f>
        <v>0</v>
      </c>
      <c r="G70" s="196" t="n">
        <f aca="false">SUM(D70:F70)</f>
        <v>0</v>
      </c>
      <c r="H70" s="75" t="e">
        <f aca="false">$B$23*(D70+E70)/12</f>
        <v>#DIV/0!</v>
      </c>
      <c r="I70" s="30"/>
    </row>
    <row r="71" customFormat="false" ht="12.75" hidden="false" customHeight="false" outlineLevel="0" collapsed="false">
      <c r="A71" s="29"/>
      <c r="B71" s="30"/>
      <c r="C71" s="30" t="n">
        <f aca="false">C70+1</f>
        <v>49</v>
      </c>
      <c r="D71" s="196" t="n">
        <f aca="false">G70</f>
        <v>0</v>
      </c>
      <c r="E71" s="304" t="n">
        <v>0</v>
      </c>
      <c r="F71" s="196" t="n">
        <f aca="false">-HLOOKUP(C71,idc_table1,IDC!$L$26+1)+HLOOKUP(C70,idc_table1,IDC!$L$26+1)</f>
        <v>0</v>
      </c>
      <c r="G71" s="196" t="n">
        <f aca="false">SUM(D71:F71)</f>
        <v>0</v>
      </c>
      <c r="H71" s="75" t="e">
        <f aca="false">$B$23*(D71+E71)/12</f>
        <v>#DIV/0!</v>
      </c>
      <c r="I71" s="30"/>
    </row>
    <row r="72" customFormat="false" ht="12.75" hidden="false" customHeight="false" outlineLevel="0" collapsed="false">
      <c r="A72" s="29"/>
      <c r="B72" s="30"/>
      <c r="C72" s="30" t="n">
        <f aca="false">C71+1</f>
        <v>50</v>
      </c>
      <c r="D72" s="196" t="n">
        <f aca="false">G71</f>
        <v>0</v>
      </c>
      <c r="E72" s="304" t="n">
        <v>0</v>
      </c>
      <c r="F72" s="196" t="n">
        <f aca="false">-HLOOKUP(C72,idc_table1,IDC!$L$26+1)+HLOOKUP(C71,idc_table1,IDC!$L$26+1)</f>
        <v>0</v>
      </c>
      <c r="G72" s="196" t="n">
        <f aca="false">SUM(D72:F72)</f>
        <v>0</v>
      </c>
      <c r="H72" s="75" t="e">
        <f aca="false">$B$23*(D72+E72)/12</f>
        <v>#DIV/0!</v>
      </c>
      <c r="I72" s="30"/>
    </row>
    <row r="73" customFormat="false" ht="12.75" hidden="false" customHeight="false" outlineLevel="0" collapsed="false">
      <c r="A73" s="29"/>
      <c r="B73" s="30"/>
      <c r="C73" s="30" t="n">
        <f aca="false">C72+1</f>
        <v>51</v>
      </c>
      <c r="D73" s="196" t="n">
        <f aca="false">G72</f>
        <v>0</v>
      </c>
      <c r="E73" s="304" t="n">
        <v>0</v>
      </c>
      <c r="F73" s="196" t="n">
        <f aca="false">-HLOOKUP(C73,idc_table1,IDC!$L$26+1)+HLOOKUP(C72,idc_table1,IDC!$L$26+1)</f>
        <v>0</v>
      </c>
      <c r="G73" s="196" t="n">
        <f aca="false">SUM(D73:F73)</f>
        <v>0</v>
      </c>
      <c r="H73" s="75" t="e">
        <f aca="false">$B$23*(D73+E73)/12</f>
        <v>#DIV/0!</v>
      </c>
      <c r="I73" s="30"/>
    </row>
    <row r="74" customFormat="false" ht="12.75" hidden="false" customHeight="false" outlineLevel="0" collapsed="false">
      <c r="A74" s="29"/>
      <c r="B74" s="30"/>
      <c r="C74" s="30" t="n">
        <f aca="false">C73+1</f>
        <v>52</v>
      </c>
      <c r="D74" s="196" t="n">
        <f aca="false">G73</f>
        <v>0</v>
      </c>
      <c r="E74" s="304" t="n">
        <v>0</v>
      </c>
      <c r="F74" s="196" t="n">
        <f aca="false">-HLOOKUP(C74,idc_table1,IDC!$L$26+1)+HLOOKUP(C73,idc_table1,IDC!$L$26+1)</f>
        <v>0</v>
      </c>
      <c r="G74" s="196" t="n">
        <f aca="false">SUM(D74:F74)</f>
        <v>0</v>
      </c>
      <c r="H74" s="75" t="e">
        <f aca="false">$B$23*(D74+E74)/12</f>
        <v>#DIV/0!</v>
      </c>
      <c r="I74" s="30"/>
    </row>
    <row r="75" customFormat="false" ht="12.75" hidden="false" customHeight="false" outlineLevel="0" collapsed="false">
      <c r="A75" s="29"/>
      <c r="B75" s="30"/>
      <c r="C75" s="30" t="n">
        <f aca="false">C74+1</f>
        <v>53</v>
      </c>
      <c r="D75" s="196" t="n">
        <f aca="false">G74</f>
        <v>0</v>
      </c>
      <c r="E75" s="304" t="n">
        <v>0</v>
      </c>
      <c r="F75" s="196" t="n">
        <f aca="false">-HLOOKUP(C75,idc_table1,IDC!$L$26+1)+HLOOKUP(C74,idc_table1,IDC!$L$26+1)</f>
        <v>0</v>
      </c>
      <c r="G75" s="196" t="n">
        <f aca="false">SUM(D75:F75)</f>
        <v>0</v>
      </c>
      <c r="H75" s="75" t="e">
        <f aca="false">$B$23*(D75+E75)/12</f>
        <v>#DIV/0!</v>
      </c>
      <c r="I75" s="30"/>
    </row>
    <row r="76" customFormat="false" ht="12.75" hidden="false" customHeight="false" outlineLevel="0" collapsed="false">
      <c r="A76" s="29"/>
      <c r="B76" s="30"/>
      <c r="C76" s="30" t="n">
        <f aca="false">C75+1</f>
        <v>54</v>
      </c>
      <c r="D76" s="196" t="n">
        <f aca="false">G75</f>
        <v>0</v>
      </c>
      <c r="E76" s="304" t="n">
        <v>0</v>
      </c>
      <c r="F76" s="196" t="n">
        <f aca="false">-HLOOKUP(C76,idc_table1,IDC!$L$26+1)+HLOOKUP(C75,idc_table1,IDC!$L$26+1)</f>
        <v>0</v>
      </c>
      <c r="G76" s="196" t="n">
        <f aca="false">SUM(D76:F76)</f>
        <v>0</v>
      </c>
      <c r="H76" s="75" t="e">
        <f aca="false">$B$23*(D76+E76)/12</f>
        <v>#DIV/0!</v>
      </c>
      <c r="I76" s="30"/>
    </row>
    <row r="77" customFormat="false" ht="12.75" hidden="false" customHeight="false" outlineLevel="0" collapsed="false">
      <c r="A77" s="29"/>
      <c r="B77" s="30"/>
      <c r="C77" s="30" t="n">
        <f aca="false">C76+1</f>
        <v>55</v>
      </c>
      <c r="D77" s="196" t="n">
        <f aca="false">G76</f>
        <v>0</v>
      </c>
      <c r="E77" s="304" t="n">
        <v>0</v>
      </c>
      <c r="F77" s="196" t="n">
        <f aca="false">-HLOOKUP(C77,idc_table1,IDC!$L$26+1)+HLOOKUP(C76,idc_table1,IDC!$L$26+1)</f>
        <v>0</v>
      </c>
      <c r="G77" s="196" t="n">
        <f aca="false">SUM(D77:F77)</f>
        <v>0</v>
      </c>
      <c r="H77" s="75" t="e">
        <f aca="false">$B$23*(D77+E77)/12</f>
        <v>#DIV/0!</v>
      </c>
      <c r="I77" s="30"/>
    </row>
    <row r="78" customFormat="false" ht="12.75" hidden="false" customHeight="false" outlineLevel="0" collapsed="false">
      <c r="A78" s="29"/>
      <c r="B78" s="30"/>
      <c r="C78" s="30" t="n">
        <f aca="false">C77+1</f>
        <v>56</v>
      </c>
      <c r="D78" s="196" t="n">
        <f aca="false">G77</f>
        <v>0</v>
      </c>
      <c r="E78" s="304" t="n">
        <v>0</v>
      </c>
      <c r="F78" s="196" t="n">
        <f aca="false">-HLOOKUP(C78,idc_table1,IDC!$L$26+1)+HLOOKUP(C77,idc_table1,IDC!$L$26+1)</f>
        <v>0</v>
      </c>
      <c r="G78" s="196" t="n">
        <f aca="false">SUM(D78:F78)</f>
        <v>0</v>
      </c>
      <c r="H78" s="75" t="e">
        <f aca="false">$B$23*(D78+E78)/12</f>
        <v>#DIV/0!</v>
      </c>
      <c r="I78" s="30"/>
    </row>
    <row r="79" customFormat="false" ht="12.75" hidden="false" customHeight="false" outlineLevel="0" collapsed="false">
      <c r="A79" s="29"/>
      <c r="B79" s="30"/>
      <c r="C79" s="30" t="n">
        <f aca="false">C78+1</f>
        <v>57</v>
      </c>
      <c r="D79" s="196" t="n">
        <f aca="false">G78</f>
        <v>0</v>
      </c>
      <c r="E79" s="304" t="n">
        <v>0</v>
      </c>
      <c r="F79" s="196" t="n">
        <f aca="false">-HLOOKUP(C79,idc_table1,IDC!$L$26+1)+HLOOKUP(C78,idc_table1,IDC!$L$26+1)</f>
        <v>0</v>
      </c>
      <c r="G79" s="196" t="n">
        <f aca="false">SUM(D79:F79)</f>
        <v>0</v>
      </c>
      <c r="H79" s="75" t="e">
        <f aca="false">$B$23*(D79+E79)/12</f>
        <v>#DIV/0!</v>
      </c>
      <c r="I79" s="30"/>
    </row>
    <row r="80" customFormat="false" ht="12.75" hidden="false" customHeight="false" outlineLevel="0" collapsed="false">
      <c r="A80" s="29"/>
      <c r="B80" s="30"/>
      <c r="C80" s="30" t="n">
        <f aca="false">C79+1</f>
        <v>58</v>
      </c>
      <c r="D80" s="196" t="n">
        <f aca="false">G79</f>
        <v>0</v>
      </c>
      <c r="E80" s="304" t="n">
        <v>0</v>
      </c>
      <c r="F80" s="196" t="n">
        <f aca="false">-HLOOKUP(C80,idc_table1,IDC!$L$26+1)+HLOOKUP(C79,idc_table1,IDC!$L$26+1)</f>
        <v>0</v>
      </c>
      <c r="G80" s="196" t="n">
        <f aca="false">SUM(D80:F80)</f>
        <v>0</v>
      </c>
      <c r="H80" s="75" t="e">
        <f aca="false">$B$23*(D80+E80)/12</f>
        <v>#DIV/0!</v>
      </c>
      <c r="I80" s="30"/>
    </row>
    <row r="81" customFormat="false" ht="12.75" hidden="false" customHeight="false" outlineLevel="0" collapsed="false">
      <c r="A81" s="29"/>
      <c r="B81" s="30"/>
      <c r="C81" s="30" t="n">
        <f aca="false">C80+1</f>
        <v>59</v>
      </c>
      <c r="D81" s="196" t="n">
        <f aca="false">G80</f>
        <v>0</v>
      </c>
      <c r="E81" s="304" t="n">
        <v>0</v>
      </c>
      <c r="F81" s="196" t="n">
        <f aca="false">-HLOOKUP(C81,idc_table1,IDC!$L$26+1)+HLOOKUP(C80,idc_table1,IDC!$L$26+1)</f>
        <v>0</v>
      </c>
      <c r="G81" s="196" t="n">
        <f aca="false">SUM(D81:F81)</f>
        <v>0</v>
      </c>
      <c r="H81" s="75" t="e">
        <f aca="false">$B$23*(D81+E81)/12</f>
        <v>#DIV/0!</v>
      </c>
      <c r="I81" s="30"/>
    </row>
    <row r="82" customFormat="false" ht="13.5" hidden="false" customHeight="false" outlineLevel="0" collapsed="false">
      <c r="A82" s="29"/>
      <c r="B82" s="30"/>
      <c r="C82" s="30" t="n">
        <f aca="false">C81+1</f>
        <v>60</v>
      </c>
      <c r="D82" s="196" t="n">
        <f aca="false">G81</f>
        <v>0</v>
      </c>
      <c r="E82" s="304" t="n">
        <v>0</v>
      </c>
      <c r="F82" s="196" t="n">
        <f aca="false">-HLOOKUP(C82,idc_table1,IDC!$L$26+1)+HLOOKUP(C81,idc_table1,IDC!$L$26+1)</f>
        <v>0</v>
      </c>
      <c r="G82" s="196" t="n">
        <f aca="false">SUM(D82:F82)</f>
        <v>0</v>
      </c>
      <c r="H82" s="75" t="e">
        <f aca="false">$B$23*(D82+E82)/12</f>
        <v>#DIV/0!</v>
      </c>
      <c r="I82" s="30"/>
    </row>
    <row r="83" customFormat="false" ht="14.25" hidden="false" customHeight="false" outlineLevel="0" collapsed="false">
      <c r="A83" s="348"/>
      <c r="B83" s="285"/>
      <c r="C83" s="285"/>
      <c r="D83" s="285"/>
      <c r="E83" s="349" t="n">
        <f aca="false">SUM(E23:E82)</f>
        <v>0</v>
      </c>
      <c r="F83" s="349" t="n">
        <f aca="false">SUM(F23:F82)</f>
        <v>0</v>
      </c>
      <c r="G83" s="285"/>
      <c r="H83" s="350" t="e">
        <f aca="false">SUM(H23:H82)</f>
        <v>#DIV/0!</v>
      </c>
    </row>
    <row r="84" customFormat="false" ht="13.5" hidden="false" customHeight="false" outlineLevel="0" collapsed="false"/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46"/>
  <sheetViews>
    <sheetView showFormulas="false" showGridLines="true" showRowColHeaders="true" showZeros="true" rightToLeft="false" tabSelected="false" showOutlineSymbols="true" defaultGridColor="true" view="normal" topLeftCell="S1" colorId="64" zoomScale="100" zoomScaleNormal="100" zoomScalePageLayoutView="100" workbookViewId="0">
      <selection pane="topLeft" activeCell="AE16" activeCellId="0" sqref="AE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25.13"/>
    <col collapsed="false" customWidth="false" hidden="false" outlineLevel="0" max="25" min="3" style="1" width="9.14"/>
    <col collapsed="false" customWidth="true" hidden="false" outlineLevel="0" max="31" min="26" style="1" width="8.99"/>
    <col collapsed="false" customWidth="false" hidden="false" outlineLevel="0" max="257" min="32" style="1" width="9.14"/>
  </cols>
  <sheetData>
    <row r="1" customFormat="false" ht="15.75" hidden="false" customHeight="false" outlineLevel="0" collapsed="false">
      <c r="A1" s="2" t="s">
        <v>339</v>
      </c>
      <c r="B1" s="265"/>
      <c r="C1" s="226"/>
      <c r="D1" s="0"/>
    </row>
    <row r="2" customFormat="false" ht="15.75" hidden="false" customHeight="false" outlineLevel="0" collapsed="false">
      <c r="A2" s="185" t="n">
        <f aca="false">ASS!A4</f>
        <v>0</v>
      </c>
      <c r="B2" s="70"/>
      <c r="C2" s="227"/>
      <c r="D2" s="0"/>
    </row>
    <row r="3" customFormat="false" ht="15.75" hidden="false" customHeight="false" outlineLevel="0" collapsed="false">
      <c r="A3" s="186" t="str">
        <f aca="false">ASS!A5</f>
        <v>BASE MODEL</v>
      </c>
      <c r="B3" s="266"/>
      <c r="C3" s="228"/>
      <c r="D3" s="0"/>
      <c r="F3" s="196" t="s">
        <v>340</v>
      </c>
      <c r="G3" s="351" t="s">
        <v>341</v>
      </c>
    </row>
    <row r="4" customFormat="false" ht="13.5" hidden="false" customHeight="false" outlineLevel="0" collapsed="false"/>
    <row r="5" customFormat="false" ht="13.5" hidden="false" customHeight="false" outlineLevel="0" collapsed="false">
      <c r="A5" s="352"/>
      <c r="B5" s="353"/>
      <c r="C5" s="354" t="s">
        <v>342</v>
      </c>
      <c r="D5" s="354" t="s">
        <v>343</v>
      </c>
      <c r="E5" s="355" t="s">
        <v>344</v>
      </c>
    </row>
    <row r="6" customFormat="false" ht="13.5" hidden="false" customHeight="false" outlineLevel="0" collapsed="false">
      <c r="A6" s="356" t="s">
        <v>345</v>
      </c>
      <c r="B6" s="30"/>
      <c r="C6" s="196" t="n">
        <f aca="false">COST</f>
        <v>13000</v>
      </c>
      <c r="D6" s="196" t="n">
        <f aca="false">C6</f>
        <v>13000</v>
      </c>
      <c r="E6" s="357" t="n">
        <f aca="false">D6</f>
        <v>13000</v>
      </c>
    </row>
    <row r="7" customFormat="false" ht="12.75" hidden="false" customHeight="false" outlineLevel="0" collapsed="false">
      <c r="A7" s="356" t="s">
        <v>346</v>
      </c>
      <c r="B7" s="30"/>
      <c r="C7" s="196" t="n">
        <f aca="false">-SPARES</f>
        <v>-0</v>
      </c>
      <c r="D7" s="196" t="n">
        <f aca="false">C7</f>
        <v>-0</v>
      </c>
      <c r="E7" s="196" t="n">
        <f aca="false">D7</f>
        <v>-0</v>
      </c>
      <c r="F7" s="358" t="s">
        <v>347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102"/>
    </row>
    <row r="8" customFormat="false" ht="13.5" hidden="false" customHeight="false" outlineLevel="0" collapsed="false">
      <c r="A8" s="356" t="s">
        <v>348</v>
      </c>
      <c r="B8" s="30"/>
      <c r="C8" s="203" t="n">
        <f aca="false">-WCAP</f>
        <v>-0</v>
      </c>
      <c r="D8" s="203" t="n">
        <f aca="false">C8</f>
        <v>-0</v>
      </c>
      <c r="E8" s="359" t="n">
        <f aca="false">D8</f>
        <v>-0</v>
      </c>
      <c r="F8" s="360" t="n">
        <v>0.0375</v>
      </c>
      <c r="G8" s="361" t="n">
        <v>0.07219</v>
      </c>
      <c r="H8" s="361" t="n">
        <v>0.06667</v>
      </c>
      <c r="I8" s="361" t="n">
        <v>0.06177</v>
      </c>
      <c r="J8" s="361" t="n">
        <v>0.05713</v>
      </c>
      <c r="K8" s="361" t="n">
        <v>0.05285</v>
      </c>
      <c r="L8" s="361" t="n">
        <v>0.04888</v>
      </c>
      <c r="M8" s="361" t="n">
        <v>0.04522</v>
      </c>
      <c r="N8" s="361" t="n">
        <v>0.04462</v>
      </c>
      <c r="O8" s="361" t="n">
        <v>0.04461</v>
      </c>
      <c r="P8" s="361" t="n">
        <v>0.04462</v>
      </c>
      <c r="Q8" s="361" t="n">
        <v>0.04461</v>
      </c>
      <c r="R8" s="361" t="n">
        <v>0.04462</v>
      </c>
      <c r="S8" s="361" t="n">
        <v>0.04461</v>
      </c>
      <c r="T8" s="361" t="n">
        <v>0.04462</v>
      </c>
      <c r="U8" s="361" t="n">
        <v>0.04461</v>
      </c>
      <c r="V8" s="361" t="n">
        <v>0.04462</v>
      </c>
      <c r="W8" s="361" t="n">
        <v>0.04461</v>
      </c>
      <c r="X8" s="361" t="n">
        <v>0.04462</v>
      </c>
      <c r="Y8" s="361" t="n">
        <v>0.04461</v>
      </c>
      <c r="Z8" s="361" t="n">
        <v>0.02231</v>
      </c>
      <c r="AA8" s="362"/>
      <c r="AB8" s="362"/>
      <c r="AC8" s="362"/>
      <c r="AD8" s="362"/>
      <c r="AE8" s="363"/>
    </row>
    <row r="9" customFormat="false" ht="13.5" hidden="false" customHeight="false" outlineLevel="0" collapsed="false">
      <c r="A9" s="364" t="s">
        <v>349</v>
      </c>
      <c r="B9" s="365"/>
      <c r="C9" s="366" t="n">
        <f aca="false">SUM(C6:C8)</f>
        <v>13000</v>
      </c>
      <c r="D9" s="366" t="n">
        <f aca="false">SUM(D6:D8)</f>
        <v>13000</v>
      </c>
      <c r="E9" s="367" t="n">
        <f aca="false">SUM(E6:E8)</f>
        <v>13000</v>
      </c>
      <c r="F9" s="368" t="n">
        <f aca="false">F13/12*F8</f>
        <v>0.0375</v>
      </c>
      <c r="G9" s="368" t="n">
        <f aca="false">IF($F$13=12,G8,(12-$F$13)/12*F8+($F$13)/12*G8)</f>
        <v>0.07219</v>
      </c>
      <c r="H9" s="368" t="n">
        <f aca="false">IF($F$13=12,H8,(12-$F$13)/12*G8+($F$13)/12*H8)</f>
        <v>0.06667</v>
      </c>
      <c r="I9" s="368" t="n">
        <f aca="false">IF($F$13=12,I8,(12-$F$13)/12*H8+($F$13)/12*I8)</f>
        <v>0.06177</v>
      </c>
      <c r="J9" s="368" t="n">
        <f aca="false">IF($F$13=12,J8,(12-$F$13)/12*I8+($F$13)/12*J8)</f>
        <v>0.05713</v>
      </c>
      <c r="K9" s="368" t="n">
        <f aca="false">IF($F$13=12,K8,(12-$F$13)/12*J8+($F$13)/12*K8)</f>
        <v>0.05285</v>
      </c>
      <c r="L9" s="368" t="n">
        <f aca="false">IF($F$13=12,L8,(12-$F$13)/12*K8+($F$13)/12*L8)</f>
        <v>0.04888</v>
      </c>
      <c r="M9" s="368" t="n">
        <f aca="false">IF($F$13=12,M8,(12-$F$13)/12*L8+($F$13)/12*M8)</f>
        <v>0.04522</v>
      </c>
      <c r="N9" s="368" t="n">
        <f aca="false">IF($F$13=12,N8,(12-$F$13)/12*M8+($F$13)/12*N8)</f>
        <v>0.04462</v>
      </c>
      <c r="O9" s="368" t="n">
        <f aca="false">IF($F$13=12,O8,(12-$F$13)/12*N8+($F$13)/12*O8)</f>
        <v>0.04461</v>
      </c>
      <c r="P9" s="368" t="n">
        <f aca="false">IF($F$13=12,P8,(12-$F$13)/12*O8+($F$13)/12*P8)</f>
        <v>0.04462</v>
      </c>
      <c r="Q9" s="368" t="n">
        <f aca="false">IF($F$13=12,Q8,(12-$F$13)/12*P8+($F$13)/12*Q8)</f>
        <v>0.04461</v>
      </c>
      <c r="R9" s="368" t="n">
        <f aca="false">IF($F$13=12,R8,(12-$F$13)/12*Q8+($F$13)/12*R8)</f>
        <v>0.04462</v>
      </c>
      <c r="S9" s="368" t="n">
        <f aca="false">IF($F$13=12,S8,(12-$F$13)/12*R8+($F$13)/12*S8)</f>
        <v>0.04461</v>
      </c>
      <c r="T9" s="368" t="n">
        <f aca="false">IF($F$13=12,T8,(12-$F$13)/12*S8+($F$13)/12*T8)</f>
        <v>0.04462</v>
      </c>
      <c r="U9" s="368" t="n">
        <f aca="false">IF($F$13=12,U8,(12-$F$13)/12*T8+($F$13)/12*U8)</f>
        <v>0.04461</v>
      </c>
      <c r="V9" s="368" t="n">
        <f aca="false">IF($F$13=12,V8,(12-$F$13)/12*U8+($F$13)/12*V8)</f>
        <v>0.04462</v>
      </c>
      <c r="W9" s="368" t="n">
        <f aca="false">IF($F$13=12,W8,(12-$F$13)/12*V8+($F$13)/12*W8)</f>
        <v>0.04461</v>
      </c>
      <c r="X9" s="368" t="n">
        <f aca="false">IF($F$13=12,X8,(12-$F$13)/12*W8+($F$13)/12*X8)</f>
        <v>0.04462</v>
      </c>
      <c r="Y9" s="368" t="n">
        <f aca="false">IF($F$13=12,Y8,(12-$F$13)/12*X8+($F$13)/12*Y8)</f>
        <v>0.04461</v>
      </c>
      <c r="Z9" s="368" t="n">
        <f aca="false">IF($F$13=12,Z8,(12-$F$13)/12*Y8+($F$13)/12*Z8)</f>
        <v>0.02231</v>
      </c>
      <c r="AA9" s="368" t="n">
        <f aca="false">1-(SUM(F9:Z9))</f>
        <v>9.9999999999989E-005</v>
      </c>
      <c r="AB9" s="369" t="n">
        <v>0</v>
      </c>
      <c r="AC9" s="369" t="n">
        <v>0</v>
      </c>
      <c r="AD9" s="369" t="n">
        <v>0</v>
      </c>
      <c r="AE9" s="369" t="n">
        <v>0</v>
      </c>
    </row>
    <row r="10" customFormat="false" ht="13.5" hidden="false" customHeight="false" outlineLevel="0" collapsed="false">
      <c r="F10" s="368"/>
      <c r="G10" s="368"/>
      <c r="H10" s="368"/>
      <c r="I10" s="368"/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9"/>
      <c r="AB10" s="369"/>
      <c r="AC10" s="369"/>
      <c r="AD10" s="369"/>
      <c r="AE10" s="369"/>
    </row>
    <row r="11" customFormat="false" ht="12.75" hidden="false" customHeight="false" outlineLevel="0" collapsed="false">
      <c r="A11" s="18" t="s">
        <v>194</v>
      </c>
      <c r="B11" s="15"/>
      <c r="C11" s="15"/>
      <c r="D11" s="15"/>
      <c r="E11" s="15"/>
      <c r="F11" s="15" t="n">
        <v>1</v>
      </c>
      <c r="G11" s="15" t="n">
        <f aca="false">F11+1</f>
        <v>2</v>
      </c>
      <c r="H11" s="15" t="n">
        <f aca="false">G11+1</f>
        <v>3</v>
      </c>
      <c r="I11" s="15" t="n">
        <f aca="false">H11+1</f>
        <v>4</v>
      </c>
      <c r="J11" s="15" t="n">
        <f aca="false">I11+1</f>
        <v>5</v>
      </c>
      <c r="K11" s="15" t="n">
        <f aca="false">J11+1</f>
        <v>6</v>
      </c>
      <c r="L11" s="15" t="n">
        <f aca="false">K11+1</f>
        <v>7</v>
      </c>
      <c r="M11" s="15" t="n">
        <f aca="false">L11+1</f>
        <v>8</v>
      </c>
      <c r="N11" s="15" t="n">
        <f aca="false">M11+1</f>
        <v>9</v>
      </c>
      <c r="O11" s="15" t="n">
        <f aca="false">N11+1</f>
        <v>10</v>
      </c>
      <c r="P11" s="15" t="n">
        <f aca="false">O11+1</f>
        <v>11</v>
      </c>
      <c r="Q11" s="15" t="n">
        <f aca="false">P11+1</f>
        <v>12</v>
      </c>
      <c r="R11" s="15" t="n">
        <f aca="false">Q11+1</f>
        <v>13</v>
      </c>
      <c r="S11" s="15" t="n">
        <f aca="false">R11+1</f>
        <v>14</v>
      </c>
      <c r="T11" s="15" t="n">
        <f aca="false">S11+1</f>
        <v>15</v>
      </c>
      <c r="U11" s="15" t="n">
        <f aca="false">T11+1</f>
        <v>16</v>
      </c>
      <c r="V11" s="15" t="n">
        <f aca="false">U11+1</f>
        <v>17</v>
      </c>
      <c r="W11" s="15" t="n">
        <f aca="false">V11+1</f>
        <v>18</v>
      </c>
      <c r="X11" s="15" t="n">
        <f aca="false">W11+1</f>
        <v>19</v>
      </c>
      <c r="Y11" s="15" t="n">
        <f aca="false">X11+1</f>
        <v>20</v>
      </c>
      <c r="Z11" s="15" t="n">
        <f aca="false">Y11+1</f>
        <v>21</v>
      </c>
      <c r="AA11" s="15" t="n">
        <f aca="false">Z11+1</f>
        <v>22</v>
      </c>
      <c r="AB11" s="15" t="n">
        <f aca="false">AA11+1</f>
        <v>23</v>
      </c>
      <c r="AC11" s="15" t="n">
        <f aca="false">AB11+1</f>
        <v>24</v>
      </c>
      <c r="AD11" s="15" t="n">
        <f aca="false">AC11+1</f>
        <v>25</v>
      </c>
      <c r="AE11" s="17" t="n">
        <f aca="false">AD11+1</f>
        <v>26</v>
      </c>
      <c r="AF11" s="187"/>
    </row>
    <row r="12" customFormat="false" ht="12.75" hidden="false" customHeight="false" outlineLevel="0" collapsed="false">
      <c r="A12" s="188" t="s">
        <v>195</v>
      </c>
      <c r="B12" s="30"/>
      <c r="C12" s="30"/>
      <c r="D12" s="30"/>
      <c r="E12" s="30"/>
      <c r="F12" s="262" t="n">
        <f aca="false">CF!D6</f>
        <v>2001</v>
      </c>
      <c r="G12" s="262" t="n">
        <f aca="false">CF!E6</f>
        <v>2002</v>
      </c>
      <c r="H12" s="262" t="n">
        <f aca="false">CF!F6</f>
        <v>2003</v>
      </c>
      <c r="I12" s="370" t="n">
        <v>2004</v>
      </c>
      <c r="J12" s="370" t="n">
        <v>2005</v>
      </c>
      <c r="K12" s="370" t="n">
        <v>2006</v>
      </c>
      <c r="L12" s="370" t="n">
        <v>2007</v>
      </c>
      <c r="M12" s="370" t="n">
        <v>2008</v>
      </c>
      <c r="N12" s="370" t="n">
        <v>2009</v>
      </c>
      <c r="O12" s="370" t="n">
        <v>2010</v>
      </c>
      <c r="P12" s="370" t="n">
        <v>2011</v>
      </c>
      <c r="Q12" s="370" t="n">
        <v>2012</v>
      </c>
      <c r="R12" s="370" t="n">
        <v>2013</v>
      </c>
      <c r="S12" s="370" t="n">
        <v>2014</v>
      </c>
      <c r="T12" s="370" t="n">
        <v>2015</v>
      </c>
      <c r="U12" s="370" t="n">
        <v>2016</v>
      </c>
      <c r="V12" s="370" t="n">
        <v>2017</v>
      </c>
      <c r="W12" s="370" t="n">
        <v>2018</v>
      </c>
      <c r="X12" s="370" t="n">
        <v>2019</v>
      </c>
      <c r="Y12" s="370" t="n">
        <v>2020</v>
      </c>
      <c r="Z12" s="370" t="n">
        <v>2021</v>
      </c>
      <c r="AA12" s="370" t="n">
        <v>2022</v>
      </c>
      <c r="AB12" s="370" t="n">
        <v>2023</v>
      </c>
      <c r="AC12" s="370" t="n">
        <v>2024</v>
      </c>
      <c r="AD12" s="370" t="n">
        <v>2025</v>
      </c>
      <c r="AE12" s="371" t="n">
        <v>2026</v>
      </c>
      <c r="AF12" s="190" t="s">
        <v>301</v>
      </c>
    </row>
    <row r="13" customFormat="false" ht="12.75" hidden="false" customHeight="false" outlineLevel="0" collapsed="false">
      <c r="A13" s="57" t="s">
        <v>197</v>
      </c>
      <c r="B13" s="58"/>
      <c r="C13" s="58"/>
      <c r="D13" s="58"/>
      <c r="E13" s="58"/>
      <c r="F13" s="58" t="n">
        <f aca="false">CF!D7</f>
        <v>12</v>
      </c>
      <c r="G13" s="58" t="n">
        <f aca="false">CF!E7</f>
        <v>12</v>
      </c>
      <c r="H13" s="58" t="n">
        <f aca="false">CF!F7</f>
        <v>12</v>
      </c>
      <c r="I13" s="58" t="n">
        <v>12</v>
      </c>
      <c r="J13" s="58" t="n">
        <v>12</v>
      </c>
      <c r="K13" s="58" t="n">
        <v>12</v>
      </c>
      <c r="L13" s="58" t="n">
        <v>12</v>
      </c>
      <c r="M13" s="58" t="n">
        <v>12</v>
      </c>
      <c r="N13" s="58" t="n">
        <v>12</v>
      </c>
      <c r="O13" s="58" t="n">
        <v>12</v>
      </c>
      <c r="P13" s="58" t="n">
        <v>12</v>
      </c>
      <c r="Q13" s="58" t="n">
        <v>12</v>
      </c>
      <c r="R13" s="58" t="n">
        <v>12</v>
      </c>
      <c r="S13" s="58" t="n">
        <v>12</v>
      </c>
      <c r="T13" s="58" t="n">
        <v>12</v>
      </c>
      <c r="U13" s="58" t="n">
        <v>12</v>
      </c>
      <c r="V13" s="58" t="n">
        <v>12</v>
      </c>
      <c r="W13" s="58" t="n">
        <v>12</v>
      </c>
      <c r="X13" s="58" t="n">
        <v>12</v>
      </c>
      <c r="Y13" s="58" t="n">
        <v>12</v>
      </c>
      <c r="Z13" s="58" t="n">
        <v>12</v>
      </c>
      <c r="AA13" s="58" t="n">
        <v>12</v>
      </c>
      <c r="AB13" s="58" t="n">
        <v>12</v>
      </c>
      <c r="AC13" s="58" t="n">
        <v>12</v>
      </c>
      <c r="AD13" s="58" t="n">
        <v>12</v>
      </c>
      <c r="AE13" s="58" t="n">
        <v>12</v>
      </c>
      <c r="AF13" s="191"/>
    </row>
    <row r="14" customFormat="false" ht="12.75" hidden="false" customHeight="false" outlineLevel="0" collapsed="false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</row>
    <row r="15" customFormat="false" ht="12.75" hidden="false" customHeight="false" outlineLevel="0" collapsed="false">
      <c r="A15" s="310" t="s">
        <v>350</v>
      </c>
      <c r="B15" s="334"/>
      <c r="C15" s="334"/>
      <c r="D15" s="334"/>
      <c r="E15" s="372" t="s">
        <v>351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87"/>
      <c r="AG15" s="30"/>
    </row>
    <row r="16" customFormat="false" ht="12.75" hidden="false" customHeight="false" outlineLevel="0" collapsed="false">
      <c r="A16" s="29" t="s">
        <v>352</v>
      </c>
      <c r="B16" s="30"/>
      <c r="C16" s="30"/>
      <c r="D16" s="30"/>
      <c r="E16" s="190" t="s">
        <v>353</v>
      </c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193"/>
      <c r="AG16" s="30"/>
    </row>
    <row r="17" customFormat="false" ht="12.75" hidden="false" customHeight="false" outlineLevel="0" collapsed="false">
      <c r="A17" s="29"/>
      <c r="B17" s="30" t="s">
        <v>354</v>
      </c>
      <c r="C17" s="30"/>
      <c r="D17" s="30"/>
      <c r="E17" s="197" t="n">
        <f aca="false">ASS!I19</f>
        <v>13000</v>
      </c>
      <c r="F17" s="373" t="n">
        <f aca="false">$E$17*F9</f>
        <v>487.5</v>
      </c>
      <c r="G17" s="374" t="n">
        <f aca="false">$E$17*G9</f>
        <v>938.47</v>
      </c>
      <c r="H17" s="257" t="n">
        <f aca="false">$E$17*H9</f>
        <v>866.71</v>
      </c>
      <c r="I17" s="257" t="n">
        <f aca="false">$E$17*I9</f>
        <v>803.01</v>
      </c>
      <c r="J17" s="257" t="n">
        <f aca="false">$E$17*J9</f>
        <v>742.69</v>
      </c>
      <c r="K17" s="257" t="n">
        <f aca="false">$E$17*K9</f>
        <v>687.05</v>
      </c>
      <c r="L17" s="257" t="n">
        <f aca="false">$E$17*L9</f>
        <v>635.44</v>
      </c>
      <c r="M17" s="257" t="n">
        <f aca="false">$E$17*M9</f>
        <v>587.86</v>
      </c>
      <c r="N17" s="257" t="n">
        <f aca="false">$E$17*N9</f>
        <v>580.06</v>
      </c>
      <c r="O17" s="257" t="n">
        <f aca="false">$E$17*O9</f>
        <v>579.93</v>
      </c>
      <c r="P17" s="257" t="n">
        <f aca="false">$E$17*P9</f>
        <v>580.06</v>
      </c>
      <c r="Q17" s="257" t="n">
        <f aca="false">$E$17*Q9</f>
        <v>579.93</v>
      </c>
      <c r="R17" s="257" t="n">
        <f aca="false">$E$17*R9</f>
        <v>580.06</v>
      </c>
      <c r="S17" s="257" t="n">
        <f aca="false">$E$17*S9</f>
        <v>579.93</v>
      </c>
      <c r="T17" s="257" t="n">
        <f aca="false">$E$17*T9</f>
        <v>580.06</v>
      </c>
      <c r="U17" s="257" t="n">
        <f aca="false">$E$17*U9</f>
        <v>579.93</v>
      </c>
      <c r="V17" s="257" t="n">
        <f aca="false">$E$17*V9</f>
        <v>580.06</v>
      </c>
      <c r="W17" s="257" t="n">
        <f aca="false">$E$17*W9</f>
        <v>579.93</v>
      </c>
      <c r="X17" s="257" t="n">
        <f aca="false">$E$17*X9</f>
        <v>580.06</v>
      </c>
      <c r="Y17" s="257" t="n">
        <f aca="false">$E$17*Y9</f>
        <v>579.93</v>
      </c>
      <c r="Z17" s="257" t="n">
        <f aca="false">$E$17*Z9</f>
        <v>290.03</v>
      </c>
      <c r="AA17" s="257" t="n">
        <f aca="false">$E$17*AA9</f>
        <v>1.29999999999986</v>
      </c>
      <c r="AB17" s="257" t="n">
        <f aca="false">$E$17*AB9</f>
        <v>0</v>
      </c>
      <c r="AC17" s="257" t="n">
        <f aca="false">$E$17*AC9</f>
        <v>0</v>
      </c>
      <c r="AD17" s="257" t="n">
        <f aca="false">$E$17*AD9</f>
        <v>0</v>
      </c>
      <c r="AE17" s="84" t="n">
        <f aca="false">$E$17*AE9</f>
        <v>0</v>
      </c>
      <c r="AF17" s="197" t="n">
        <f aca="false">SUM(F17:AE17)</f>
        <v>13000</v>
      </c>
      <c r="AG17" s="30"/>
    </row>
    <row r="18" customFormat="false" ht="12.75" hidden="false" customHeight="false" outlineLevel="0" collapsed="false">
      <c r="A18" s="29"/>
      <c r="B18" s="30" t="s">
        <v>355</v>
      </c>
      <c r="C18" s="30" t="s">
        <v>1</v>
      </c>
      <c r="D18" s="30"/>
      <c r="E18" s="197" t="n">
        <f aca="false">SUM(E17)</f>
        <v>13000</v>
      </c>
      <c r="F18" s="196" t="n">
        <f aca="false">SUM(F17)</f>
        <v>487.5</v>
      </c>
      <c r="G18" s="196" t="n">
        <f aca="false">SUM(G17)</f>
        <v>938.47</v>
      </c>
      <c r="H18" s="196" t="n">
        <f aca="false">SUM(H17)</f>
        <v>866.71</v>
      </c>
      <c r="I18" s="196" t="n">
        <f aca="false">SUM(I17)</f>
        <v>803.01</v>
      </c>
      <c r="J18" s="196" t="n">
        <f aca="false">SUM(J17)</f>
        <v>742.69</v>
      </c>
      <c r="K18" s="196" t="n">
        <f aca="false">SUM(K17)</f>
        <v>687.05</v>
      </c>
      <c r="L18" s="196" t="n">
        <f aca="false">SUM(L17)</f>
        <v>635.44</v>
      </c>
      <c r="M18" s="196" t="n">
        <f aca="false">SUM(M17)</f>
        <v>587.86</v>
      </c>
      <c r="N18" s="196" t="n">
        <f aca="false">SUM(N17)</f>
        <v>580.06</v>
      </c>
      <c r="O18" s="196" t="n">
        <f aca="false">SUM(O17)</f>
        <v>579.93</v>
      </c>
      <c r="P18" s="196" t="n">
        <f aca="false">SUM(P17)</f>
        <v>580.06</v>
      </c>
      <c r="Q18" s="196" t="n">
        <f aca="false">SUM(Q17)</f>
        <v>579.93</v>
      </c>
      <c r="R18" s="196" t="n">
        <f aca="false">SUM(R17)</f>
        <v>580.06</v>
      </c>
      <c r="S18" s="196" t="n">
        <f aca="false">SUM(S17)</f>
        <v>579.93</v>
      </c>
      <c r="T18" s="196" t="n">
        <f aca="false">SUM(T17)</f>
        <v>580.06</v>
      </c>
      <c r="U18" s="196" t="n">
        <f aca="false">SUM(U17)</f>
        <v>579.93</v>
      </c>
      <c r="V18" s="196" t="n">
        <f aca="false">SUM(V17)</f>
        <v>580.06</v>
      </c>
      <c r="W18" s="196" t="n">
        <f aca="false">SUM(W17)</f>
        <v>579.93</v>
      </c>
      <c r="X18" s="196" t="n">
        <f aca="false">SUM(X17)</f>
        <v>580.06</v>
      </c>
      <c r="Y18" s="196" t="n">
        <f aca="false">SUM(Y17)</f>
        <v>579.93</v>
      </c>
      <c r="Z18" s="196" t="n">
        <f aca="false">SUM(Z17)</f>
        <v>290.03</v>
      </c>
      <c r="AA18" s="196" t="n">
        <f aca="false">SUM(AA17)</f>
        <v>1.29999999999986</v>
      </c>
      <c r="AB18" s="196" t="n">
        <f aca="false">SUM(AB17)</f>
        <v>0</v>
      </c>
      <c r="AC18" s="196" t="n">
        <f aca="false">SUM(AC17)</f>
        <v>0</v>
      </c>
      <c r="AD18" s="196" t="n">
        <f aca="false">SUM(AD17)</f>
        <v>0</v>
      </c>
      <c r="AE18" s="196" t="n">
        <f aca="false">SUM(AE17)</f>
        <v>0</v>
      </c>
      <c r="AF18" s="197" t="n">
        <f aca="false">SUM(F18:AE18)</f>
        <v>13000</v>
      </c>
      <c r="AG18" s="30"/>
    </row>
    <row r="19" customFormat="false" ht="12.75" hidden="false" customHeight="false" outlineLevel="0" collapsed="false">
      <c r="A19" s="29"/>
      <c r="B19" s="375" t="s">
        <v>356</v>
      </c>
      <c r="C19" s="30" t="s">
        <v>1</v>
      </c>
      <c r="D19" s="30"/>
      <c r="E19" s="197"/>
      <c r="F19" s="376" t="n">
        <f aca="false">F18</f>
        <v>487.5</v>
      </c>
      <c r="G19" s="376" t="n">
        <f aca="false">F19+G18</f>
        <v>1425.97</v>
      </c>
      <c r="H19" s="376" t="n">
        <f aca="false">G19+H18</f>
        <v>2292.68</v>
      </c>
      <c r="I19" s="376" t="n">
        <f aca="false">H19+I18</f>
        <v>3095.69</v>
      </c>
      <c r="J19" s="376" t="n">
        <f aca="false">I19+J18</f>
        <v>3838.38</v>
      </c>
      <c r="K19" s="376" t="n">
        <f aca="false">J19+K18</f>
        <v>4525.43</v>
      </c>
      <c r="L19" s="376" t="n">
        <f aca="false">K19+L18</f>
        <v>5160.87</v>
      </c>
      <c r="M19" s="376" t="n">
        <f aca="false">L19+M18</f>
        <v>5748.73</v>
      </c>
      <c r="N19" s="376" t="n">
        <f aca="false">M19+N18</f>
        <v>6328.79</v>
      </c>
      <c r="O19" s="376" t="n">
        <f aca="false">N19+O18</f>
        <v>6908.72</v>
      </c>
      <c r="P19" s="376" t="n">
        <f aca="false">O19+P18</f>
        <v>7488.78</v>
      </c>
      <c r="Q19" s="376" t="n">
        <f aca="false">P19+Q18</f>
        <v>8068.71</v>
      </c>
      <c r="R19" s="376" t="n">
        <f aca="false">Q19+R18</f>
        <v>8648.77</v>
      </c>
      <c r="S19" s="376" t="n">
        <f aca="false">R19+S18</f>
        <v>9228.7</v>
      </c>
      <c r="T19" s="376" t="n">
        <f aca="false">S19+T18</f>
        <v>9808.76</v>
      </c>
      <c r="U19" s="376" t="n">
        <f aca="false">T19+U18</f>
        <v>10388.69</v>
      </c>
      <c r="V19" s="376" t="n">
        <f aca="false">U19+V18</f>
        <v>10968.75</v>
      </c>
      <c r="W19" s="376" t="n">
        <f aca="false">V19+W18</f>
        <v>11548.68</v>
      </c>
      <c r="X19" s="376" t="n">
        <f aca="false">W19+X18</f>
        <v>12128.74</v>
      </c>
      <c r="Y19" s="376" t="n">
        <f aca="false">X19+Y18</f>
        <v>12708.67</v>
      </c>
      <c r="Z19" s="376" t="n">
        <f aca="false">Y19+Z18</f>
        <v>12998.7</v>
      </c>
      <c r="AA19" s="376" t="n">
        <f aca="false">Z19+AA18</f>
        <v>13000</v>
      </c>
      <c r="AB19" s="376" t="n">
        <f aca="false">AA19+AB18</f>
        <v>13000</v>
      </c>
      <c r="AC19" s="376" t="n">
        <f aca="false">AB19+AC18</f>
        <v>13000</v>
      </c>
      <c r="AD19" s="376" t="n">
        <f aca="false">AC19+AD18</f>
        <v>13000</v>
      </c>
      <c r="AE19" s="376" t="n">
        <f aca="false">AD19+AE18</f>
        <v>13000</v>
      </c>
      <c r="AF19" s="197"/>
      <c r="AG19" s="30"/>
    </row>
    <row r="20" customFormat="false" ht="12.75" hidden="false" customHeight="false" outlineLevel="0" collapsed="false">
      <c r="A20" s="29"/>
      <c r="B20" s="30"/>
      <c r="C20" s="30" t="s">
        <v>1</v>
      </c>
      <c r="D20" s="30"/>
      <c r="E20" s="197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7"/>
      <c r="AG20" s="30"/>
    </row>
    <row r="21" customFormat="false" ht="12.75" hidden="false" customHeight="false" outlineLevel="0" collapsed="false">
      <c r="A21" s="29"/>
      <c r="B21" s="30" t="s">
        <v>357</v>
      </c>
      <c r="C21" s="105"/>
      <c r="D21" s="30"/>
      <c r="E21" s="197"/>
      <c r="F21" s="196" t="n">
        <v>0</v>
      </c>
      <c r="G21" s="196" t="n">
        <f aca="false">F24</f>
        <v>12512.5</v>
      </c>
      <c r="H21" s="196" t="n">
        <f aca="false">G24</f>
        <v>11574.03</v>
      </c>
      <c r="I21" s="196" t="n">
        <f aca="false">H24</f>
        <v>10707.32</v>
      </c>
      <c r="J21" s="196" t="n">
        <f aca="false">I24</f>
        <v>9904.31</v>
      </c>
      <c r="K21" s="196" t="n">
        <f aca="false">J24</f>
        <v>9161.62</v>
      </c>
      <c r="L21" s="196" t="n">
        <f aca="false">K24</f>
        <v>8474.57</v>
      </c>
      <c r="M21" s="196" t="n">
        <f aca="false">L24</f>
        <v>7839.13</v>
      </c>
      <c r="N21" s="196" t="n">
        <f aca="false">M24</f>
        <v>7251.27</v>
      </c>
      <c r="O21" s="196" t="n">
        <f aca="false">N24</f>
        <v>6671.21</v>
      </c>
      <c r="P21" s="196" t="n">
        <f aca="false">O24</f>
        <v>6091.28</v>
      </c>
      <c r="Q21" s="196" t="n">
        <f aca="false">P24</f>
        <v>5511.22</v>
      </c>
      <c r="R21" s="196" t="n">
        <f aca="false">Q24</f>
        <v>4931.29</v>
      </c>
      <c r="S21" s="196" t="n">
        <f aca="false">R24</f>
        <v>4351.23</v>
      </c>
      <c r="T21" s="196" t="n">
        <f aca="false">S24</f>
        <v>3771.3</v>
      </c>
      <c r="U21" s="196" t="n">
        <f aca="false">T24</f>
        <v>3191.24</v>
      </c>
      <c r="V21" s="196" t="n">
        <f aca="false">U24</f>
        <v>2611.31</v>
      </c>
      <c r="W21" s="196" t="n">
        <f aca="false">V24</f>
        <v>2031.25</v>
      </c>
      <c r="X21" s="196" t="n">
        <f aca="false">W24</f>
        <v>1451.32</v>
      </c>
      <c r="Y21" s="196" t="n">
        <f aca="false">X24</f>
        <v>871.260000000002</v>
      </c>
      <c r="Z21" s="196" t="n">
        <f aca="false">Y24</f>
        <v>291.330000000002</v>
      </c>
      <c r="AA21" s="196" t="n">
        <f aca="false">Z24</f>
        <v>1.30000000000211</v>
      </c>
      <c r="AB21" s="196" t="n">
        <f aca="false">AA24</f>
        <v>2.25774954287772E-012</v>
      </c>
      <c r="AC21" s="196" t="n">
        <f aca="false">AB24</f>
        <v>2.25774954287772E-012</v>
      </c>
      <c r="AD21" s="196" t="n">
        <f aca="false">AC24</f>
        <v>2.25774954287772E-012</v>
      </c>
      <c r="AE21" s="196" t="n">
        <f aca="false">AD24</f>
        <v>2.25774954287772E-012</v>
      </c>
      <c r="AF21" s="197"/>
      <c r="AG21" s="30"/>
    </row>
    <row r="22" customFormat="false" ht="12.75" hidden="false" customHeight="false" outlineLevel="0" collapsed="false">
      <c r="A22" s="29"/>
      <c r="B22" s="30" t="s">
        <v>358</v>
      </c>
      <c r="C22" s="30"/>
      <c r="D22" s="30"/>
      <c r="E22" s="197"/>
      <c r="F22" s="196" t="n">
        <f aca="false">E18</f>
        <v>13000</v>
      </c>
      <c r="G22" s="196" t="n">
        <v>0</v>
      </c>
      <c r="H22" s="196" t="n">
        <v>0</v>
      </c>
      <c r="I22" s="196" t="n">
        <v>0</v>
      </c>
      <c r="J22" s="196" t="n">
        <v>0</v>
      </c>
      <c r="K22" s="196" t="n">
        <v>0</v>
      </c>
      <c r="L22" s="196" t="n">
        <v>0</v>
      </c>
      <c r="M22" s="196" t="n">
        <v>0</v>
      </c>
      <c r="N22" s="196" t="n">
        <v>0</v>
      </c>
      <c r="O22" s="196" t="n">
        <v>0</v>
      </c>
      <c r="P22" s="196" t="n">
        <v>0</v>
      </c>
      <c r="Q22" s="196" t="n">
        <v>0</v>
      </c>
      <c r="R22" s="196" t="n">
        <v>0</v>
      </c>
      <c r="S22" s="196" t="n">
        <v>0</v>
      </c>
      <c r="T22" s="196" t="n">
        <v>0</v>
      </c>
      <c r="U22" s="196" t="n">
        <v>0</v>
      </c>
      <c r="V22" s="196" t="n">
        <v>0</v>
      </c>
      <c r="W22" s="196" t="n">
        <v>0</v>
      </c>
      <c r="X22" s="196" t="n">
        <v>0</v>
      </c>
      <c r="Y22" s="196" t="n">
        <v>0</v>
      </c>
      <c r="Z22" s="196" t="n">
        <v>0</v>
      </c>
      <c r="AA22" s="196" t="n">
        <v>0</v>
      </c>
      <c r="AB22" s="196" t="n">
        <v>0</v>
      </c>
      <c r="AC22" s="196" t="n">
        <v>0</v>
      </c>
      <c r="AD22" s="196" t="n">
        <v>0</v>
      </c>
      <c r="AE22" s="196" t="n">
        <v>0</v>
      </c>
      <c r="AF22" s="197" t="n">
        <f aca="false">SUM(F22:AE22)</f>
        <v>13000</v>
      </c>
      <c r="AG22" s="30"/>
    </row>
    <row r="23" customFormat="false" ht="12.75" hidden="false" customHeight="false" outlineLevel="0" collapsed="false">
      <c r="A23" s="29"/>
      <c r="B23" s="30" t="s">
        <v>359</v>
      </c>
      <c r="C23" s="30"/>
      <c r="D23" s="30"/>
      <c r="E23" s="197"/>
      <c r="F23" s="203" t="n">
        <f aca="false">-F18</f>
        <v>-487.5</v>
      </c>
      <c r="G23" s="203" t="n">
        <f aca="false">-G17</f>
        <v>-938.47</v>
      </c>
      <c r="H23" s="203" t="n">
        <f aca="false">-H17</f>
        <v>-866.71</v>
      </c>
      <c r="I23" s="203" t="n">
        <f aca="false">-I17</f>
        <v>-803.01</v>
      </c>
      <c r="J23" s="203" t="n">
        <f aca="false">-J17</f>
        <v>-742.69</v>
      </c>
      <c r="K23" s="203" t="n">
        <f aca="false">-K17</f>
        <v>-687.05</v>
      </c>
      <c r="L23" s="203" t="n">
        <f aca="false">-L17</f>
        <v>-635.44</v>
      </c>
      <c r="M23" s="203" t="n">
        <f aca="false">-M17</f>
        <v>-587.86</v>
      </c>
      <c r="N23" s="203" t="n">
        <f aca="false">-N17</f>
        <v>-580.06</v>
      </c>
      <c r="O23" s="203" t="n">
        <f aca="false">-O17</f>
        <v>-579.93</v>
      </c>
      <c r="P23" s="203" t="n">
        <f aca="false">-P17</f>
        <v>-580.06</v>
      </c>
      <c r="Q23" s="203" t="n">
        <f aca="false">-Q17</f>
        <v>-579.93</v>
      </c>
      <c r="R23" s="203" t="n">
        <f aca="false">-R17</f>
        <v>-580.06</v>
      </c>
      <c r="S23" s="203" t="n">
        <f aca="false">-S17</f>
        <v>-579.93</v>
      </c>
      <c r="T23" s="203" t="n">
        <f aca="false">-T17</f>
        <v>-580.06</v>
      </c>
      <c r="U23" s="203" t="n">
        <f aca="false">-U17</f>
        <v>-579.93</v>
      </c>
      <c r="V23" s="203" t="n">
        <f aca="false">-V17</f>
        <v>-580.06</v>
      </c>
      <c r="W23" s="203" t="n">
        <f aca="false">-W17</f>
        <v>-579.93</v>
      </c>
      <c r="X23" s="203" t="n">
        <f aca="false">-X17</f>
        <v>-580.06</v>
      </c>
      <c r="Y23" s="203" t="n">
        <f aca="false">-Y17</f>
        <v>-579.93</v>
      </c>
      <c r="Z23" s="203" t="n">
        <f aca="false">-Z17</f>
        <v>-290.03</v>
      </c>
      <c r="AA23" s="203" t="n">
        <f aca="false">-AA17</f>
        <v>-1.29999999999986</v>
      </c>
      <c r="AB23" s="203" t="n">
        <f aca="false">-AB17</f>
        <v>-0</v>
      </c>
      <c r="AC23" s="203" t="n">
        <f aca="false">-AC17</f>
        <v>-0</v>
      </c>
      <c r="AD23" s="203" t="n">
        <f aca="false">-AD17</f>
        <v>-0</v>
      </c>
      <c r="AE23" s="203" t="n">
        <f aca="false">-AE17</f>
        <v>-0</v>
      </c>
      <c r="AF23" s="197" t="n">
        <f aca="false">SUM(F23:AE23)</f>
        <v>-13000</v>
      </c>
      <c r="AG23" s="30"/>
    </row>
    <row r="24" customFormat="false" ht="12.75" hidden="false" customHeight="false" outlineLevel="0" collapsed="false">
      <c r="A24" s="57"/>
      <c r="B24" s="58" t="s">
        <v>360</v>
      </c>
      <c r="C24" s="58" t="s">
        <v>1</v>
      </c>
      <c r="D24" s="58"/>
      <c r="E24" s="377"/>
      <c r="F24" s="257" t="n">
        <f aca="false">SUM(F21:F23)</f>
        <v>12512.5</v>
      </c>
      <c r="G24" s="257" t="n">
        <f aca="false">SUM(G21:G23)</f>
        <v>11574.03</v>
      </c>
      <c r="H24" s="257" t="n">
        <f aca="false">SUM(H21:H23)</f>
        <v>10707.32</v>
      </c>
      <c r="I24" s="257" t="n">
        <f aca="false">SUM(I21:I23)</f>
        <v>9904.31</v>
      </c>
      <c r="J24" s="257" t="n">
        <f aca="false">SUM(J21:J23)</f>
        <v>9161.62</v>
      </c>
      <c r="K24" s="257" t="n">
        <f aca="false">SUM(K21:K23)</f>
        <v>8474.57</v>
      </c>
      <c r="L24" s="257" t="n">
        <f aca="false">SUM(L21:L23)</f>
        <v>7839.13</v>
      </c>
      <c r="M24" s="257" t="n">
        <f aca="false">SUM(M21:M23)</f>
        <v>7251.27</v>
      </c>
      <c r="N24" s="257" t="n">
        <f aca="false">SUM(N21:N23)</f>
        <v>6671.21</v>
      </c>
      <c r="O24" s="257" t="n">
        <f aca="false">SUM(O21:O23)</f>
        <v>6091.28</v>
      </c>
      <c r="P24" s="257" t="n">
        <f aca="false">SUM(P21:P23)</f>
        <v>5511.22</v>
      </c>
      <c r="Q24" s="257" t="n">
        <f aca="false">SUM(Q21:Q23)</f>
        <v>4931.29</v>
      </c>
      <c r="R24" s="257" t="n">
        <f aca="false">SUM(R21:R23)</f>
        <v>4351.23</v>
      </c>
      <c r="S24" s="257" t="n">
        <f aca="false">SUM(S21:S23)</f>
        <v>3771.3</v>
      </c>
      <c r="T24" s="257" t="n">
        <f aca="false">SUM(T21:T23)</f>
        <v>3191.24</v>
      </c>
      <c r="U24" s="257" t="n">
        <f aca="false">SUM(U21:U23)</f>
        <v>2611.31</v>
      </c>
      <c r="V24" s="257" t="n">
        <f aca="false">SUM(V21:V23)</f>
        <v>2031.25</v>
      </c>
      <c r="W24" s="257" t="n">
        <f aca="false">SUM(W21:W23)</f>
        <v>1451.32</v>
      </c>
      <c r="X24" s="257" t="n">
        <f aca="false">SUM(X21:X23)</f>
        <v>871.260000000002</v>
      </c>
      <c r="Y24" s="257" t="n">
        <f aca="false">SUM(Y21:Y23)</f>
        <v>291.330000000002</v>
      </c>
      <c r="Z24" s="257" t="n">
        <f aca="false">SUM(Z21:Z23)</f>
        <v>1.30000000000211</v>
      </c>
      <c r="AA24" s="257" t="n">
        <f aca="false">SUM(AA21:AA23)</f>
        <v>2.25774954287772E-012</v>
      </c>
      <c r="AB24" s="257" t="n">
        <f aca="false">SUM(AB21:AB23)</f>
        <v>2.25774954287772E-012</v>
      </c>
      <c r="AC24" s="257" t="n">
        <f aca="false">SUM(AC21:AC23)</f>
        <v>2.25774954287772E-012</v>
      </c>
      <c r="AD24" s="257" t="n">
        <f aca="false">SUM(AD21:AD23)</f>
        <v>2.25774954287772E-012</v>
      </c>
      <c r="AE24" s="257" t="n">
        <f aca="false">SUM(AE21:AE23)</f>
        <v>2.25774954287772E-012</v>
      </c>
      <c r="AF24" s="377"/>
      <c r="AG24" s="30"/>
    </row>
    <row r="25" customFormat="false" ht="12.75" hidden="false" customHeight="false" outlineLevel="0" collapsed="false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</row>
    <row r="26" customFormat="false" ht="12.75" hidden="false" customHeight="false" outlineLevel="0" collapsed="false">
      <c r="A26" s="310" t="s">
        <v>361</v>
      </c>
      <c r="B26" s="334"/>
      <c r="C26" s="334"/>
      <c r="D26" s="15"/>
      <c r="E26" s="187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87"/>
      <c r="AG26" s="30"/>
    </row>
    <row r="27" customFormat="false" ht="12.75" hidden="false" customHeight="false" outlineLevel="0" collapsed="false">
      <c r="A27" s="29" t="s">
        <v>362</v>
      </c>
      <c r="B27" s="30"/>
      <c r="C27" s="30"/>
      <c r="D27" s="30"/>
      <c r="E27" s="193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193"/>
      <c r="AG27" s="30"/>
    </row>
    <row r="28" customFormat="false" ht="12.75" hidden="false" customHeight="false" outlineLevel="0" collapsed="false">
      <c r="A28" s="29"/>
      <c r="B28" s="30" t="s">
        <v>354</v>
      </c>
      <c r="C28" s="30"/>
      <c r="D28" s="30"/>
      <c r="E28" s="197" t="n">
        <f aca="false">ASS!$I21</f>
        <v>13000</v>
      </c>
      <c r="F28" s="196" t="n">
        <f aca="false">IF(ASS!$J$21=0,0,IF(F11&lt;ASS!$J$21+1,SLN(ASS!$I$21,0,ASS!$J$21)*F13/12,IF(F11=ASS!$J$21+1,SLN(ASS!$I$21,0,ASS!$J$21)*(12-F13)/12,0)))</f>
        <v>456.140350877193</v>
      </c>
      <c r="G28" s="351" t="n">
        <f aca="false">IF(ASS!$J$21=0,0,IF(G11=ASS!$J$21,$E$28-SUM($F$28:F28),IF(G11&gt;TERM,0,IF(G11&lt;ASS!$J$21+1,SLN(ASS!$I$21,0,ASS!$J$21)*G13/12,IF(G11=ASS!$J$21+1,SLN(ASS!$I$21,0,ASS!$J$21)*(12-G13)/12,0)))))</f>
        <v>456.140350877193</v>
      </c>
      <c r="H28" s="196" t="n">
        <f aca="false">IF(ASS!$J$21=0,0,IF(H11=ASS!$J$21,$E$28-SUM($F$28:G28),IF(H11&gt;TERM,0,IF(H11&lt;ASS!$J$21+1,SLN(ASS!$I$21,0,ASS!$J$21)*H13/12,IF(H11=ASS!$J$21+1,SLN(ASS!$I$21,0,ASS!$J$21)*(12-H13)/12,0)))))</f>
        <v>456.140350877193</v>
      </c>
      <c r="I28" s="196" t="n">
        <f aca="false">IF(ASS!$J$21=0,0,IF(I11=ASS!$J$21,$E$28-SUM($F$28:H28),IF(I11&gt;TERM,0,IF(I11&lt;ASS!$J$21+1,SLN(ASS!$I$21,0,ASS!$J$21)*I13/12,IF(I11=ASS!$J$21+1,SLN(ASS!$I$21,0,ASS!$J$21)*(12-I13)/12,0)))))</f>
        <v>456.140350877193</v>
      </c>
      <c r="J28" s="196" t="n">
        <f aca="false">IF(ASS!$J$21=0,0,IF(J11=ASS!$J$21,$E$28-SUM($F$28:I28),IF(J11&gt;TERM,0,IF(J11&lt;ASS!$J$21+1,SLN(ASS!$I$21,0,ASS!$J$21)*J13/12,IF(J11=ASS!$J$21+1,SLN(ASS!$I$21,0,ASS!$J$21)*(12-J13)/12,0)))))</f>
        <v>456.140350877193</v>
      </c>
      <c r="K28" s="196" t="n">
        <f aca="false">IF(ASS!$J$21=0,0,IF(K11=ASS!$J$21,$E$28-SUM($F$28:J28),IF(K11&gt;TERM,0,IF(K11&lt;ASS!$J$21+1,SLN(ASS!$I$21,0,ASS!$J$21)*K13/12,IF(K11=ASS!$J$21+1,SLN(ASS!$I$21,0,ASS!$J$21)*(12-K13)/12,0)))))</f>
        <v>456.140350877193</v>
      </c>
      <c r="L28" s="196" t="n">
        <f aca="false">IF(ASS!$J$21=0,0,IF(L11=ASS!$J$21,$E$28-SUM($F$28:K28),IF(L11&gt;TERM,0,IF(L11&lt;ASS!$J$21+1,SLN(ASS!$I$21,0,ASS!$J$21)*L13/12,IF(L11=ASS!$J$21+1,SLN(ASS!$I$21,0,ASS!$J$21)*(12-L13)/12,0)))))</f>
        <v>456.140350877193</v>
      </c>
      <c r="M28" s="196" t="n">
        <f aca="false">IF(ASS!$J$21=0,0,IF(M11=ASS!$J$21,$E$28-SUM($F$28:L28),IF(M11&gt;TERM,0,IF(M11&lt;ASS!$J$21+1,SLN(ASS!$I$21,0,ASS!$J$21)*M13/12,IF(M11=ASS!$J$21+1,SLN(ASS!$I$21,0,ASS!$J$21)*(12-M13)/12,0)))))</f>
        <v>456.140350877193</v>
      </c>
      <c r="N28" s="196" t="n">
        <f aca="false">IF(ASS!$J$21=0,0,IF(N11=ASS!$J$21,$E$28-SUM($F$28:M28),IF(N11&gt;TERM,0,IF(N11&lt;ASS!$J$21+1,SLN(ASS!$I$21,0,ASS!$J$21)*N13/12,IF(N11=ASS!$J$21+1,SLN(ASS!$I$21,0,ASS!$J$21)*(12-N13)/12,0)))))</f>
        <v>456.140350877193</v>
      </c>
      <c r="O28" s="196" t="n">
        <f aca="false">IF(ASS!$J$21=0,0,IF(O11=ASS!$J$21,$E$28-SUM($F$28:N28),IF(O11&gt;TERM,0,IF(O11&lt;ASS!$J$21+1,SLN(ASS!$I$21,0,ASS!$J$21)*O13/12,IF(O11=ASS!$J$21+1,SLN(ASS!$I$21,0,ASS!$J$21)*(12-O13)/12,0)))))</f>
        <v>456.140350877193</v>
      </c>
      <c r="P28" s="196" t="n">
        <f aca="false">IF(ASS!$J$21=0,0,IF(P11=ASS!$J$21,$E$28-SUM($F$28:O28),IF(P11&gt;TERM,0,IF(P11&lt;ASS!$J$21+1,SLN(ASS!$I$21,0,ASS!$J$21)*P13/12,IF(P11=ASS!$J$21+1,SLN(ASS!$I$21,0,ASS!$J$21)*(12-P13)/12,0)))))</f>
        <v>456.140350877193</v>
      </c>
      <c r="Q28" s="196" t="n">
        <f aca="false">IF(ASS!$J$21=0,0,IF(Q11=ASS!$J$21,$E$28-SUM($F$28:P28),IF(Q11&gt;TERM,0,IF(Q11&lt;ASS!$J$21+1,SLN(ASS!$I$21,0,ASS!$J$21)*Q13/12,IF(Q11=ASS!$J$21+1,SLN(ASS!$I$21,0,ASS!$J$21)*(12-Q13)/12,0)))))</f>
        <v>456.140350877193</v>
      </c>
      <c r="R28" s="196" t="n">
        <f aca="false">IF(ASS!$J$21=0,0,IF(R11=ASS!$J$21,$E$28-SUM($F$28:Q28),IF(R11&gt;TERM,0,IF(R11&lt;ASS!$J$21+1,SLN(ASS!$I$21,0,ASS!$J$21)*R13/12,IF(R11=ASS!$J$21+1,SLN(ASS!$I$21,0,ASS!$J$21)*(12-R13)/12,0)))))</f>
        <v>456.140350877193</v>
      </c>
      <c r="S28" s="196" t="n">
        <f aca="false">IF(ASS!$J$21=0,0,IF(S11=ASS!$J$21,$E$28-SUM($F$28:R28),IF(S11&gt;TERM,0,IF(S11&lt;ASS!$J$21+1,SLN(ASS!$I$21,0,ASS!$J$21)*S13/12,IF(S11=ASS!$J$21+1,SLN(ASS!$I$21,0,ASS!$J$21)*(12-S13)/12,0)))))</f>
        <v>456.140350877193</v>
      </c>
      <c r="T28" s="196" t="n">
        <f aca="false">IF(ASS!$J$21=0,0,IF(T11=ASS!$J$21,$E$28-SUM($F$28:S28),IF(T11&gt;TERM,0,IF(T11&lt;ASS!$J$21+1,SLN(ASS!$I$21,0,ASS!$J$21)*T13/12,IF(T11=ASS!$J$21+1,SLN(ASS!$I$21,0,ASS!$J$21)*(12-T13)/12,0)))))</f>
        <v>456.140350877193</v>
      </c>
      <c r="U28" s="196" t="n">
        <f aca="false">IF(ASS!$J$21=0,0,IF(U11=ASS!$J$21,$E$28-SUM($F$28:T28),IF(U11&gt;TERM,0,IF(U11&lt;ASS!$J$21+1,SLN(ASS!$I$21,0,ASS!$J$21)*U13/12,IF(U11=ASS!$J$21+1,SLN(ASS!$I$21,0,ASS!$J$21)*(12-U13)/12,0)))))</f>
        <v>456.140350877193</v>
      </c>
      <c r="V28" s="196" t="n">
        <f aca="false">IF(ASS!$J$21=0,0,IF(V11=ASS!$J$21,$E$28-SUM($F$28:U28),IF(V11&gt;TERM,0,IF(V11&lt;ASS!$J$21+1,SLN(ASS!$I$21,0,ASS!$J$21)*V13/12,IF(V11=ASS!$J$21+1,SLN(ASS!$I$21,0,ASS!$J$21)*(12-V13)/12,0)))))</f>
        <v>456.140350877193</v>
      </c>
      <c r="W28" s="196" t="n">
        <f aca="false">IF(ASS!$J$21=0,0,IF(W11=ASS!$J$21,$E$28-SUM($F$28:V28),IF(W11&gt;TERM,0,IF(W11&lt;ASS!$J$21+1,SLN(ASS!$I$21,0,ASS!$J$21)*W13/12,IF(W11=ASS!$J$21+1,SLN(ASS!$I$21,0,ASS!$J$21)*(12-W13)/12,0)))))</f>
        <v>456.140350877193</v>
      </c>
      <c r="X28" s="196" t="n">
        <f aca="false">IF(ASS!$J$21=0,0,IF(X11=ASS!$J$21,$E$28-SUM($F$28:W28),IF(X11&gt;TERM,0,IF(X11&lt;ASS!$J$21+1,SLN(ASS!$I$21,0,ASS!$J$21)*X13/12,IF(X11=ASS!$J$21+1,SLN(ASS!$I$21,0,ASS!$J$21)*(12-X13)/12,0)))))</f>
        <v>456.140350877193</v>
      </c>
      <c r="Y28" s="196" t="n">
        <f aca="false">IF(ASS!$J$21=0,0,IF(Y11=ASS!$J$21,$E$28-SUM($F$28:X28),IF(Y11&gt;TERM,0,IF(Y11&lt;ASS!$J$21+1,SLN(ASS!$I$21,0,ASS!$J$21)*Y13/12,IF(Y11=ASS!$J$21+1,SLN(ASS!$I$21,0,ASS!$J$21)*(12-Y13)/12,0)))))</f>
        <v>456.140350877193</v>
      </c>
      <c r="Z28" s="196" t="n">
        <f aca="false">IF(ASS!$J$21=0,0,IF(Z11=ASS!$J$21,$E$28-SUM($F$28:Y28),IF(Z11&gt;TERM,0,IF(Z11&lt;ASS!$J$21+1,SLN(ASS!$I$21,0,ASS!$J$21)*Z13/12,IF(Z11=ASS!$J$21+1,SLN(ASS!$I$21,0,ASS!$J$21)*(12-Z13)/12,0)))))</f>
        <v>456.140350877193</v>
      </c>
      <c r="AA28" s="196" t="n">
        <f aca="false">IF(ASS!$J$21=0,0,IF(AA11=ASS!$J$21,$E$28-SUM($F$28:Z28),IF(AA11&gt;TERM,0,IF(AA11&lt;ASS!$J$21+1,SLN(ASS!$I$21,0,ASS!$J$21)*AA13/12,IF(AA11=ASS!$J$21+1,SLN(ASS!$I$21,0,ASS!$J$21)*(12-AA13)/12,0)))))</f>
        <v>456.140350877193</v>
      </c>
      <c r="AB28" s="196" t="n">
        <f aca="false">IF(ASS!$J$21=0,0,IF(AB11=ASS!$J$21,$E$28-SUM($F$28:AA28),IF(AB11&gt;TERM,0,IF(AB11&lt;ASS!$J$21+1,SLN(ASS!$I$21,0,ASS!$J$21)*AB13/12,IF(AB11=ASS!$J$21+1,SLN(ASS!$I$21,0,ASS!$J$21)*(12-AB13)/12,0)))))</f>
        <v>456.140350877193</v>
      </c>
      <c r="AC28" s="196" t="n">
        <f aca="false">IF(ASS!$J$21=0,0,IF(AC11=ASS!$J$21,$E$28-SUM($F$28:AB28),IF(AC11&gt;TERM,0,IF(AC11&lt;ASS!$J$21+1,SLN(ASS!$I$21,0,ASS!$J$21)*AC13/12,IF(AC11=ASS!$J$21+1,SLN(ASS!$I$21,0,ASS!$J$21)*(12-AC13)/12,0)))))</f>
        <v>456.140350877193</v>
      </c>
      <c r="AD28" s="196" t="n">
        <f aca="false">IF(ASS!$J$21=0,0,IF(AD11=ASS!$J$21,$E$28-SUM($F$28:AC28),IF(AD11&gt;TERM,0,IF(AD11&lt;ASS!$J$21+1,SLN(ASS!$I$21,0,ASS!$J$21)*AD13/12,IF(AD11=ASS!$J$21+1,SLN(ASS!$I$21,0,ASS!$J$21)*(12-AD13)/12,0)))))</f>
        <v>456.140350877193</v>
      </c>
      <c r="AE28" s="196" t="n">
        <f aca="false">IF(ASS!$J$21=0,0,IF(AE11=ASS!$J$21,$E$28-SUM($F$28:AD28),IF(AE11&gt;TERM,0,IF(AE11&lt;ASS!$J$21+1,SLN(ASS!$I$21,0,ASS!$J$21)*AE13/12,IF(AE11=ASS!$J$21+1,SLN(ASS!$I$21,0,ASS!$J$21)*(12-AE13)/12,0)))))</f>
        <v>456.140350877193</v>
      </c>
      <c r="AF28" s="197" t="n">
        <f aca="false">SUM(F28:AE28)</f>
        <v>11859.649122807</v>
      </c>
      <c r="AG28" s="30"/>
    </row>
    <row r="29" customFormat="false" ht="12.75" hidden="false" customHeight="false" outlineLevel="0" collapsed="false">
      <c r="A29" s="29"/>
      <c r="B29" s="30" t="s">
        <v>363</v>
      </c>
      <c r="C29" s="105"/>
      <c r="D29" s="30"/>
      <c r="E29" s="197" t="n">
        <f aca="false">SUM(E28)</f>
        <v>13000</v>
      </c>
      <c r="F29" s="196" t="n">
        <f aca="false">SUM(F28)</f>
        <v>456.140350877193</v>
      </c>
      <c r="G29" s="196" t="n">
        <f aca="false">G28</f>
        <v>456.140350877193</v>
      </c>
      <c r="H29" s="196" t="n">
        <f aca="false">H28</f>
        <v>456.140350877193</v>
      </c>
      <c r="I29" s="196" t="n">
        <f aca="false">I28</f>
        <v>456.140350877193</v>
      </c>
      <c r="J29" s="196" t="n">
        <f aca="false">J28</f>
        <v>456.140350877193</v>
      </c>
      <c r="K29" s="196" t="n">
        <f aca="false">K28</f>
        <v>456.140350877193</v>
      </c>
      <c r="L29" s="196" t="n">
        <f aca="false">L28</f>
        <v>456.140350877193</v>
      </c>
      <c r="M29" s="196" t="n">
        <f aca="false">M28</f>
        <v>456.140350877193</v>
      </c>
      <c r="N29" s="196" t="n">
        <f aca="false">N28</f>
        <v>456.140350877193</v>
      </c>
      <c r="O29" s="196" t="n">
        <f aca="false">O28</f>
        <v>456.140350877193</v>
      </c>
      <c r="P29" s="196" t="n">
        <f aca="false">P28</f>
        <v>456.140350877193</v>
      </c>
      <c r="Q29" s="196" t="n">
        <f aca="false">Q28</f>
        <v>456.140350877193</v>
      </c>
      <c r="R29" s="196" t="n">
        <f aca="false">R28</f>
        <v>456.140350877193</v>
      </c>
      <c r="S29" s="196" t="n">
        <f aca="false">S28</f>
        <v>456.140350877193</v>
      </c>
      <c r="T29" s="196" t="n">
        <f aca="false">T28</f>
        <v>456.140350877193</v>
      </c>
      <c r="U29" s="196" t="n">
        <f aca="false">U28</f>
        <v>456.140350877193</v>
      </c>
      <c r="V29" s="196" t="n">
        <f aca="false">V28</f>
        <v>456.140350877193</v>
      </c>
      <c r="W29" s="196" t="n">
        <f aca="false">W28</f>
        <v>456.140350877193</v>
      </c>
      <c r="X29" s="196" t="n">
        <f aca="false">X28</f>
        <v>456.140350877193</v>
      </c>
      <c r="Y29" s="196" t="n">
        <f aca="false">Y28</f>
        <v>456.140350877193</v>
      </c>
      <c r="Z29" s="196" t="n">
        <f aca="false">Z28</f>
        <v>456.140350877193</v>
      </c>
      <c r="AA29" s="196" t="n">
        <f aca="false">AA28</f>
        <v>456.140350877193</v>
      </c>
      <c r="AB29" s="196" t="n">
        <f aca="false">AB28</f>
        <v>456.140350877193</v>
      </c>
      <c r="AC29" s="196" t="n">
        <f aca="false">AC28</f>
        <v>456.140350877193</v>
      </c>
      <c r="AD29" s="196" t="n">
        <f aca="false">AD28</f>
        <v>456.140350877193</v>
      </c>
      <c r="AE29" s="196" t="n">
        <f aca="false">AE28</f>
        <v>456.140350877193</v>
      </c>
      <c r="AF29" s="197" t="n">
        <f aca="false">SUM(F29:AE29)</f>
        <v>11859.649122807</v>
      </c>
      <c r="AG29" s="30"/>
    </row>
    <row r="30" customFormat="false" ht="12.75" hidden="false" customHeight="false" outlineLevel="0" collapsed="false">
      <c r="A30" s="29"/>
      <c r="B30" s="139" t="s">
        <v>364</v>
      </c>
      <c r="C30" s="378"/>
      <c r="D30" s="139"/>
      <c r="E30" s="379"/>
      <c r="F30" s="380" t="n">
        <f aca="false">F29</f>
        <v>456.140350877193</v>
      </c>
      <c r="G30" s="380" t="n">
        <f aca="false">F30+G29</f>
        <v>912.280701754386</v>
      </c>
      <c r="H30" s="380" t="n">
        <f aca="false">G30+H29</f>
        <v>1368.42105263158</v>
      </c>
      <c r="I30" s="380" t="n">
        <f aca="false">H30+I29</f>
        <v>1824.56140350877</v>
      </c>
      <c r="J30" s="380" t="n">
        <f aca="false">I30+J29</f>
        <v>2280.70175438596</v>
      </c>
      <c r="K30" s="380" t="n">
        <f aca="false">J30+K29</f>
        <v>2736.84210526316</v>
      </c>
      <c r="L30" s="380" t="n">
        <f aca="false">K30+L29</f>
        <v>3192.98245614035</v>
      </c>
      <c r="M30" s="380" t="n">
        <f aca="false">L30+M29</f>
        <v>3649.12280701754</v>
      </c>
      <c r="N30" s="380" t="n">
        <f aca="false">M30+N29</f>
        <v>4105.26315789474</v>
      </c>
      <c r="O30" s="380" t="n">
        <f aca="false">N30+O29</f>
        <v>4561.40350877193</v>
      </c>
      <c r="P30" s="380" t="n">
        <f aca="false">O30+P29</f>
        <v>5017.54385964912</v>
      </c>
      <c r="Q30" s="380" t="n">
        <f aca="false">P30+Q29</f>
        <v>5473.68421052631</v>
      </c>
      <c r="R30" s="380" t="n">
        <f aca="false">Q30+R29</f>
        <v>5929.82456140351</v>
      </c>
      <c r="S30" s="380" t="n">
        <f aca="false">R30+S29</f>
        <v>6385.9649122807</v>
      </c>
      <c r="T30" s="380" t="n">
        <f aca="false">S30+T29</f>
        <v>6842.10526315789</v>
      </c>
      <c r="U30" s="380" t="n">
        <f aca="false">T30+U29</f>
        <v>7298.24561403509</v>
      </c>
      <c r="V30" s="380" t="n">
        <f aca="false">U30+V29</f>
        <v>7754.38596491228</v>
      </c>
      <c r="W30" s="380" t="n">
        <f aca="false">V30+W29</f>
        <v>8210.52631578947</v>
      </c>
      <c r="X30" s="380" t="n">
        <f aca="false">W30+X29</f>
        <v>8666.66666666666</v>
      </c>
      <c r="Y30" s="380" t="n">
        <f aca="false">X30+Y29</f>
        <v>9122.80701754386</v>
      </c>
      <c r="Z30" s="380" t="n">
        <f aca="false">Y30+Z29</f>
        <v>9578.94736842105</v>
      </c>
      <c r="AA30" s="380" t="n">
        <f aca="false">Z30+AA29</f>
        <v>10035.0877192982</v>
      </c>
      <c r="AB30" s="380" t="n">
        <f aca="false">AA30+AB29</f>
        <v>10491.2280701754</v>
      </c>
      <c r="AC30" s="380" t="n">
        <f aca="false">AB30+AC29</f>
        <v>10947.3684210526</v>
      </c>
      <c r="AD30" s="380" t="n">
        <f aca="false">AC30+AD29</f>
        <v>11403.5087719298</v>
      </c>
      <c r="AE30" s="380" t="n">
        <f aca="false">AD30+AE29</f>
        <v>11859.649122807</v>
      </c>
      <c r="AF30" s="197"/>
      <c r="AG30" s="30"/>
    </row>
    <row r="31" customFormat="false" ht="12.75" hidden="false" customHeight="false" outlineLevel="0" collapsed="false">
      <c r="A31" s="29"/>
      <c r="B31" s="30"/>
      <c r="C31" s="105"/>
      <c r="D31" s="30"/>
      <c r="E31" s="197"/>
      <c r="F31" s="196"/>
      <c r="G31" s="196"/>
      <c r="H31" s="196"/>
      <c r="I31" s="196"/>
      <c r="J31" s="196"/>
      <c r="K31" s="196"/>
      <c r="L31" s="196"/>
      <c r="M31" s="196"/>
      <c r="N31" s="196"/>
      <c r="O31" s="196"/>
      <c r="P31" s="196"/>
      <c r="Q31" s="196"/>
      <c r="R31" s="196"/>
      <c r="S31" s="196"/>
      <c r="T31" s="196"/>
      <c r="U31" s="196"/>
      <c r="V31" s="196"/>
      <c r="W31" s="196"/>
      <c r="X31" s="196"/>
      <c r="Y31" s="196"/>
      <c r="Z31" s="196"/>
      <c r="AA31" s="196"/>
      <c r="AB31" s="196"/>
      <c r="AC31" s="196"/>
      <c r="AD31" s="196"/>
      <c r="AE31" s="196"/>
      <c r="AF31" s="197"/>
      <c r="AG31" s="30"/>
    </row>
    <row r="32" customFormat="false" ht="12.75" hidden="false" customHeight="false" outlineLevel="0" collapsed="false">
      <c r="A32" s="29"/>
      <c r="B32" s="30" t="s">
        <v>365</v>
      </c>
      <c r="C32" s="105"/>
      <c r="D32" s="30"/>
      <c r="E32" s="197"/>
      <c r="F32" s="196" t="n">
        <v>0</v>
      </c>
      <c r="G32" s="196" t="n">
        <f aca="false">F35</f>
        <v>12543.8596491228</v>
      </c>
      <c r="H32" s="196" t="n">
        <f aca="false">G35</f>
        <v>12087.7192982456</v>
      </c>
      <c r="I32" s="196" t="n">
        <f aca="false">H35</f>
        <v>11631.5789473684</v>
      </c>
      <c r="J32" s="196" t="n">
        <f aca="false">I35</f>
        <v>11175.4385964912</v>
      </c>
      <c r="K32" s="196" t="n">
        <f aca="false">J35</f>
        <v>10719.298245614</v>
      </c>
      <c r="L32" s="196" t="n">
        <f aca="false">K35</f>
        <v>10263.1578947368</v>
      </c>
      <c r="M32" s="196" t="n">
        <f aca="false">L35</f>
        <v>9807.01754385965</v>
      </c>
      <c r="N32" s="196" t="n">
        <f aca="false">M35</f>
        <v>9350.87719298246</v>
      </c>
      <c r="O32" s="196" t="n">
        <f aca="false">N35</f>
        <v>8894.73684210527</v>
      </c>
      <c r="P32" s="196" t="n">
        <f aca="false">O35</f>
        <v>8438.59649122807</v>
      </c>
      <c r="Q32" s="196" t="n">
        <f aca="false">P35</f>
        <v>7982.45614035088</v>
      </c>
      <c r="R32" s="196" t="n">
        <f aca="false">Q35</f>
        <v>7526.31578947369</v>
      </c>
      <c r="S32" s="196" t="n">
        <f aca="false">R35</f>
        <v>7070.17543859649</v>
      </c>
      <c r="T32" s="196" t="n">
        <f aca="false">S35</f>
        <v>6614.0350877193</v>
      </c>
      <c r="U32" s="196" t="n">
        <f aca="false">T35</f>
        <v>6157.89473684211</v>
      </c>
      <c r="V32" s="196" t="n">
        <f aca="false">U35</f>
        <v>5701.75438596492</v>
      </c>
      <c r="W32" s="196" t="n">
        <f aca="false">V35</f>
        <v>5245.61403508772</v>
      </c>
      <c r="X32" s="196" t="n">
        <f aca="false">W35</f>
        <v>4789.47368421053</v>
      </c>
      <c r="Y32" s="196" t="n">
        <f aca="false">X35</f>
        <v>4333.33333333334</v>
      </c>
      <c r="Z32" s="196" t="n">
        <f aca="false">Y35</f>
        <v>3877.19298245615</v>
      </c>
      <c r="AA32" s="196" t="n">
        <f aca="false">Z35</f>
        <v>3421.05263157895</v>
      </c>
      <c r="AB32" s="196" t="n">
        <f aca="false">AA35</f>
        <v>2964.91228070176</v>
      </c>
      <c r="AC32" s="196" t="n">
        <f aca="false">AB35</f>
        <v>2508.77192982457</v>
      </c>
      <c r="AD32" s="196" t="n">
        <f aca="false">AC35</f>
        <v>2052.63157894737</v>
      </c>
      <c r="AE32" s="196" t="n">
        <f aca="false">AD35</f>
        <v>1596.49122807018</v>
      </c>
      <c r="AF32" s="197"/>
      <c r="AG32" s="30"/>
    </row>
    <row r="33" customFormat="false" ht="12.75" hidden="false" customHeight="false" outlineLevel="0" collapsed="false">
      <c r="A33" s="29"/>
      <c r="B33" s="30" t="s">
        <v>358</v>
      </c>
      <c r="C33" s="30"/>
      <c r="D33" s="30"/>
      <c r="E33" s="197"/>
      <c r="F33" s="196" t="n">
        <f aca="false">E29</f>
        <v>13000</v>
      </c>
      <c r="G33" s="196" t="n">
        <v>0</v>
      </c>
      <c r="H33" s="196" t="n">
        <v>0</v>
      </c>
      <c r="I33" s="196" t="n">
        <v>0</v>
      </c>
      <c r="J33" s="196" t="n">
        <v>0</v>
      </c>
      <c r="K33" s="196" t="n">
        <v>0</v>
      </c>
      <c r="L33" s="196" t="n">
        <v>0</v>
      </c>
      <c r="M33" s="196" t="n">
        <v>0</v>
      </c>
      <c r="N33" s="196" t="n">
        <v>0</v>
      </c>
      <c r="O33" s="196" t="n">
        <v>0</v>
      </c>
      <c r="P33" s="196" t="n">
        <v>0</v>
      </c>
      <c r="Q33" s="196" t="n">
        <v>0</v>
      </c>
      <c r="R33" s="196" t="n">
        <v>0</v>
      </c>
      <c r="S33" s="196" t="n">
        <v>0</v>
      </c>
      <c r="T33" s="196" t="n">
        <v>0</v>
      </c>
      <c r="U33" s="196" t="n">
        <v>0</v>
      </c>
      <c r="V33" s="196" t="n">
        <v>0</v>
      </c>
      <c r="W33" s="196" t="n">
        <v>0</v>
      </c>
      <c r="X33" s="196" t="n">
        <v>0</v>
      </c>
      <c r="Y33" s="196" t="n">
        <v>0</v>
      </c>
      <c r="Z33" s="196" t="n">
        <v>0</v>
      </c>
      <c r="AA33" s="196" t="n">
        <v>0</v>
      </c>
      <c r="AB33" s="196" t="n">
        <v>0</v>
      </c>
      <c r="AC33" s="196" t="n">
        <v>0</v>
      </c>
      <c r="AD33" s="196" t="n">
        <v>0</v>
      </c>
      <c r="AE33" s="196" t="n">
        <v>0</v>
      </c>
      <c r="AF33" s="197" t="n">
        <f aca="false">SUM(F33:AE33)</f>
        <v>13000</v>
      </c>
      <c r="AG33" s="30"/>
    </row>
    <row r="34" customFormat="false" ht="12.75" hidden="false" customHeight="false" outlineLevel="0" collapsed="false">
      <c r="A34" s="29"/>
      <c r="B34" s="30" t="s">
        <v>359</v>
      </c>
      <c r="C34" s="30"/>
      <c r="D34" s="30"/>
      <c r="E34" s="197"/>
      <c r="F34" s="203" t="n">
        <f aca="false">-F29</f>
        <v>-456.140350877193</v>
      </c>
      <c r="G34" s="203" t="n">
        <f aca="false">-G29</f>
        <v>-456.140350877193</v>
      </c>
      <c r="H34" s="203" t="n">
        <f aca="false">-H29</f>
        <v>-456.140350877193</v>
      </c>
      <c r="I34" s="203" t="n">
        <f aca="false">-I29</f>
        <v>-456.140350877193</v>
      </c>
      <c r="J34" s="203" t="n">
        <f aca="false">-J29</f>
        <v>-456.140350877193</v>
      </c>
      <c r="K34" s="203" t="n">
        <f aca="false">-K29</f>
        <v>-456.140350877193</v>
      </c>
      <c r="L34" s="203" t="n">
        <f aca="false">-L29</f>
        <v>-456.140350877193</v>
      </c>
      <c r="M34" s="203" t="n">
        <f aca="false">-M29</f>
        <v>-456.140350877193</v>
      </c>
      <c r="N34" s="203" t="n">
        <f aca="false">-N29</f>
        <v>-456.140350877193</v>
      </c>
      <c r="O34" s="203" t="n">
        <f aca="false">-O29</f>
        <v>-456.140350877193</v>
      </c>
      <c r="P34" s="203" t="n">
        <f aca="false">-P29</f>
        <v>-456.140350877193</v>
      </c>
      <c r="Q34" s="203" t="n">
        <f aca="false">-Q29</f>
        <v>-456.140350877193</v>
      </c>
      <c r="R34" s="203" t="n">
        <f aca="false">-R29</f>
        <v>-456.140350877193</v>
      </c>
      <c r="S34" s="203" t="n">
        <f aca="false">-S29</f>
        <v>-456.140350877193</v>
      </c>
      <c r="T34" s="203" t="n">
        <f aca="false">-T29</f>
        <v>-456.140350877193</v>
      </c>
      <c r="U34" s="203" t="n">
        <f aca="false">-U29</f>
        <v>-456.140350877193</v>
      </c>
      <c r="V34" s="203" t="n">
        <f aca="false">-V29</f>
        <v>-456.140350877193</v>
      </c>
      <c r="W34" s="203" t="n">
        <f aca="false">-W29</f>
        <v>-456.140350877193</v>
      </c>
      <c r="X34" s="203" t="n">
        <f aca="false">-X29</f>
        <v>-456.140350877193</v>
      </c>
      <c r="Y34" s="203" t="n">
        <f aca="false">-Y29</f>
        <v>-456.140350877193</v>
      </c>
      <c r="Z34" s="203" t="n">
        <f aca="false">-Z29</f>
        <v>-456.140350877193</v>
      </c>
      <c r="AA34" s="203" t="n">
        <f aca="false">-AA29</f>
        <v>-456.140350877193</v>
      </c>
      <c r="AB34" s="203" t="n">
        <f aca="false">-AB29</f>
        <v>-456.140350877193</v>
      </c>
      <c r="AC34" s="203" t="n">
        <f aca="false">-AC29</f>
        <v>-456.140350877193</v>
      </c>
      <c r="AD34" s="203" t="n">
        <f aca="false">-AD29</f>
        <v>-456.140350877193</v>
      </c>
      <c r="AE34" s="203" t="n">
        <f aca="false">-AE29</f>
        <v>-456.140350877193</v>
      </c>
      <c r="AF34" s="197" t="n">
        <f aca="false">SUM(F34:AE34)</f>
        <v>-11859.649122807</v>
      </c>
      <c r="AG34" s="30"/>
    </row>
    <row r="35" customFormat="false" ht="12.75" hidden="false" customHeight="false" outlineLevel="0" collapsed="false">
      <c r="A35" s="57"/>
      <c r="B35" s="58" t="s">
        <v>366</v>
      </c>
      <c r="C35" s="58" t="s">
        <v>1</v>
      </c>
      <c r="D35" s="58"/>
      <c r="E35" s="377"/>
      <c r="F35" s="257" t="n">
        <f aca="false">SUM(F32:F34)</f>
        <v>12543.8596491228</v>
      </c>
      <c r="G35" s="257" t="n">
        <f aca="false">SUM(G32:G34)</f>
        <v>12087.7192982456</v>
      </c>
      <c r="H35" s="257" t="n">
        <f aca="false">SUM(H32:H34)</f>
        <v>11631.5789473684</v>
      </c>
      <c r="I35" s="257" t="n">
        <f aca="false">SUM(I32:I34)</f>
        <v>11175.4385964912</v>
      </c>
      <c r="J35" s="257" t="n">
        <f aca="false">SUM(J32:J34)</f>
        <v>10719.298245614</v>
      </c>
      <c r="K35" s="257" t="n">
        <f aca="false">SUM(K32:K34)</f>
        <v>10263.1578947368</v>
      </c>
      <c r="L35" s="257" t="n">
        <f aca="false">SUM(L32:L34)</f>
        <v>9807.01754385965</v>
      </c>
      <c r="M35" s="257" t="n">
        <f aca="false">SUM(M32:M34)</f>
        <v>9350.87719298246</v>
      </c>
      <c r="N35" s="257" t="n">
        <f aca="false">SUM(N32:N34)</f>
        <v>8894.73684210527</v>
      </c>
      <c r="O35" s="257" t="n">
        <f aca="false">SUM(O32:O34)</f>
        <v>8438.59649122807</v>
      </c>
      <c r="P35" s="257" t="n">
        <f aca="false">SUM(P32:P34)</f>
        <v>7982.45614035088</v>
      </c>
      <c r="Q35" s="257" t="n">
        <f aca="false">SUM(Q32:Q34)</f>
        <v>7526.31578947369</v>
      </c>
      <c r="R35" s="257" t="n">
        <f aca="false">SUM(R32:R34)</f>
        <v>7070.17543859649</v>
      </c>
      <c r="S35" s="257" t="n">
        <f aca="false">SUM(S32:S34)</f>
        <v>6614.0350877193</v>
      </c>
      <c r="T35" s="257" t="n">
        <f aca="false">SUM(T32:T34)</f>
        <v>6157.89473684211</v>
      </c>
      <c r="U35" s="257" t="n">
        <f aca="false">SUM(U32:U34)</f>
        <v>5701.75438596492</v>
      </c>
      <c r="V35" s="257" t="n">
        <f aca="false">SUM(V32:V34)</f>
        <v>5245.61403508772</v>
      </c>
      <c r="W35" s="257" t="n">
        <f aca="false">SUM(W32:W34)</f>
        <v>4789.47368421053</v>
      </c>
      <c r="X35" s="257" t="n">
        <f aca="false">SUM(X32:X34)</f>
        <v>4333.33333333334</v>
      </c>
      <c r="Y35" s="257" t="n">
        <f aca="false">SUM(Y32:Y34)</f>
        <v>3877.19298245615</v>
      </c>
      <c r="Z35" s="257" t="n">
        <f aca="false">SUM(Z32:Z34)</f>
        <v>3421.05263157895</v>
      </c>
      <c r="AA35" s="257" t="n">
        <f aca="false">SUM(AA32:AA34)</f>
        <v>2964.91228070176</v>
      </c>
      <c r="AB35" s="257" t="n">
        <f aca="false">SUM(AB32:AB34)</f>
        <v>2508.77192982457</v>
      </c>
      <c r="AC35" s="257" t="n">
        <f aca="false">SUM(AC32:AC34)</f>
        <v>2052.63157894737</v>
      </c>
      <c r="AD35" s="257" t="n">
        <f aca="false">SUM(AD32:AD34)</f>
        <v>1596.49122807018</v>
      </c>
      <c r="AE35" s="257" t="n">
        <f aca="false">SUM(AE32:AE34)</f>
        <v>1140.35087719299</v>
      </c>
      <c r="AF35" s="377"/>
      <c r="AG35" s="30"/>
    </row>
    <row r="36" customFormat="false" ht="12.75" hidden="false" customHeight="false" outlineLevel="0" collapsed="false">
      <c r="A36" s="105"/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5"/>
      <c r="AD36" s="105"/>
      <c r="AE36" s="105"/>
      <c r="AF36" s="105"/>
      <c r="AG36" s="105"/>
    </row>
    <row r="37" customFormat="false" ht="12.75" hidden="false" customHeight="false" outlineLevel="0" collapsed="false">
      <c r="A37" s="310" t="s">
        <v>367</v>
      </c>
      <c r="B37" s="334"/>
      <c r="C37" s="334"/>
      <c r="D37" s="15"/>
      <c r="E37" s="187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87"/>
      <c r="AG37" s="105"/>
    </row>
    <row r="38" customFormat="false" ht="12.75" hidden="false" customHeight="false" outlineLevel="0" collapsed="false">
      <c r="A38" s="29" t="s">
        <v>362</v>
      </c>
      <c r="B38" s="30"/>
      <c r="C38" s="30"/>
      <c r="D38" s="30"/>
      <c r="E38" s="193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193"/>
      <c r="AG38" s="105"/>
    </row>
    <row r="39" customFormat="false" ht="12.75" hidden="false" customHeight="false" outlineLevel="0" collapsed="false">
      <c r="A39" s="29"/>
      <c r="B39" s="30" t="s">
        <v>354</v>
      </c>
      <c r="C39" s="30"/>
      <c r="D39" s="30"/>
      <c r="E39" s="197" t="n">
        <f aca="false">ASS!I23</f>
        <v>13000</v>
      </c>
      <c r="F39" s="196" t="n">
        <f aca="false">IF(ASS!$J$23=0,0,IF(F11&lt;ASS!$J$23,SLN(ASS!$I$23,0,ASS!$J$23)*F13/12,IF(F11=ASS!$J$23,SLN(ASS!$I$23,0,ASS!$J$23)*(12-F13)/12,0)))</f>
        <v>456.140350877193</v>
      </c>
      <c r="G39" s="351" t="n">
        <f aca="false">IF(ASS!$J$23=0,0,IF(G11=ASS!$J$23,$E$39-SUM($F$39:F39),IF(G11&gt;TERM,0,IF(G11&lt;ASS!$J$23,SLN(ASS!$I$23,0,ASS!$J$23)*G13/12,IF(G11=ASS!$J$23,SLN(ASS!$I$23,0,ASS!$J$23)*(12-G13)/12,0)))))</f>
        <v>456.140350877193</v>
      </c>
      <c r="H39" s="196" t="n">
        <f aca="false">IF(ASS!$J$23=0,0,IF(H11=ASS!$J$23,$E$39-SUM($F$39:G39),IF(H11&gt;TERM,0,IF(H11&lt;ASS!$J$23,SLN(ASS!$I$23,0,ASS!$J$23)*H13/12,IF(H11=ASS!$J$23,SLN(ASS!$I$23,0,ASS!$J$23)*(12-H13)/12,0)))))</f>
        <v>456.140350877193</v>
      </c>
      <c r="I39" s="196" t="n">
        <f aca="false">IF(ASS!$J$23=0,0,IF(I11=ASS!$J$23,$E$39-SUM($F$39:H39),IF(I11&gt;TERM,0,IF(I11&lt;ASS!$J$23,SLN(ASS!$I$23,0,ASS!$J$23)*I13/12,IF(I11=ASS!$J$23,SLN(ASS!$I$23,0,ASS!$J$23)*(12-I13)/12,0)))))</f>
        <v>456.140350877193</v>
      </c>
      <c r="J39" s="196" t="n">
        <f aca="false">IF(ASS!$J$23=0,0,IF(J11=ASS!$J$23,$E$39-SUM($F$39:I39),IF(J11&gt;TERM,0,IF(J11&lt;ASS!$J$23,SLN(ASS!$I$23,0,ASS!$J$23)*J13/12,IF(J11=ASS!$J$23,SLN(ASS!$I$23,0,ASS!$J$23)*(12-J13)/12,0)))))</f>
        <v>456.140350877193</v>
      </c>
      <c r="K39" s="196" t="n">
        <f aca="false">IF(ASS!$J$23=0,0,IF(K11=ASS!$J$23,$E$39-SUM($F$39:J39),IF(K11&gt;TERM,0,IF(K11&lt;ASS!$J$23,SLN(ASS!$I$23,0,ASS!$J$23)*K13/12,IF(K11=ASS!$J$23,SLN(ASS!$I$23,0,ASS!$J$23)*(12-K13)/12,0)))))</f>
        <v>456.140350877193</v>
      </c>
      <c r="L39" s="196" t="n">
        <f aca="false">IF(ASS!$J$23=0,0,IF(L11=ASS!$J$23,$E$39-SUM($F$39:K39),IF(L11&gt;TERM,0,IF(L11&lt;ASS!$J$23,SLN(ASS!$I$23,0,ASS!$J$23)*L13/12,IF(L11=ASS!$J$23,SLN(ASS!$I$23,0,ASS!$J$23)*(12-L13)/12,0)))))</f>
        <v>456.140350877193</v>
      </c>
      <c r="M39" s="196" t="n">
        <f aca="false">IF(ASS!$J$23=0,0,IF(M11=ASS!$J$23,$E$39-SUM($F$39:L39),IF(M11&gt;TERM,0,IF(M11&lt;ASS!$J$23,SLN(ASS!$I$23,0,ASS!$J$23)*M13/12,IF(M11=ASS!$J$23,SLN(ASS!$I$23,0,ASS!$J$23)*(12-M13)/12,0)))))</f>
        <v>456.140350877193</v>
      </c>
      <c r="N39" s="196" t="n">
        <f aca="false">IF(ASS!$J$23=0,0,IF(N11=ASS!$J$23,$E$39-SUM($F$39:M39),IF(N11&gt;TERM,0,IF(N11&lt;ASS!$J$23,SLN(ASS!$I$23,0,ASS!$J$23)*N13/12,IF(N11=ASS!$J$23,SLN(ASS!$I$23,0,ASS!$J$23)*(12-N13)/12,0)))))</f>
        <v>456.140350877193</v>
      </c>
      <c r="O39" s="196" t="n">
        <f aca="false">IF(ASS!$J$23=0,0,IF(O11=ASS!$J$23,$E$39-SUM($F$39:N39),IF(O11&gt;TERM,0,IF(O11&lt;ASS!$J$23,SLN(ASS!$I$23,0,ASS!$J$23)*O13/12,IF(O11=ASS!$J$23,SLN(ASS!$I$23,0,ASS!$J$23)*(12-O13)/12,0)))))</f>
        <v>456.140350877193</v>
      </c>
      <c r="P39" s="196" t="n">
        <f aca="false">IF(ASS!$J$23=0,0,IF(P11=ASS!$J$23,$E$39-SUM($F$39:O39),IF(P11&gt;TERM,0,IF(P11&lt;ASS!$J$23,SLN(ASS!$I$23,0,ASS!$J$23)*P13/12,IF(P11=ASS!$J$23,SLN(ASS!$I$23,0,ASS!$J$23)*(12-P13)/12,0)))))</f>
        <v>456.140350877193</v>
      </c>
      <c r="Q39" s="196" t="n">
        <f aca="false">IF(ASS!$J$23=0,0,IF(Q11=ASS!$J$23,$E$39-SUM($F$39:P39),IF(Q11&gt;TERM,0,IF(Q11&lt;ASS!$J$23,SLN(ASS!$I$23,0,ASS!$J$23)*Q13/12,IF(Q11=ASS!$J$23,SLN(ASS!$I$23,0,ASS!$J$23)*(12-Q13)/12,0)))))</f>
        <v>456.140350877193</v>
      </c>
      <c r="R39" s="196" t="n">
        <f aca="false">IF(ASS!$J$23=0,0,IF(R11=ASS!$J$23,$E$39-SUM($F$39:Q39),IF(R11&gt;TERM,0,IF(R11&lt;ASS!$J$23,SLN(ASS!$I$23,0,ASS!$J$23)*R13/12,IF(R11=ASS!$J$23,SLN(ASS!$I$23,0,ASS!$J$23)*(12-R13)/12,0)))))</f>
        <v>456.140350877193</v>
      </c>
      <c r="S39" s="196" t="n">
        <f aca="false">IF(ASS!$J$23=0,0,IF(S11=ASS!$J$23,$E$39-SUM($F$39:R39),IF(S11&gt;TERM,0,IF(S11&lt;ASS!$J$23,SLN(ASS!$I$23,0,ASS!$J$23)*S13/12,IF(S11=ASS!$J$23,SLN(ASS!$I$23,0,ASS!$J$23)*(12-S13)/12,0)))))</f>
        <v>456.140350877193</v>
      </c>
      <c r="T39" s="196" t="n">
        <f aca="false">IF(ASS!$J$23=0,0,IF(T11=ASS!$J$23,$E$39-SUM($F$39:S39),IF(T11&gt;TERM,0,IF(T11&lt;ASS!$J$23,SLN(ASS!$I$23,0,ASS!$J$23)*T13/12,IF(T11=ASS!$J$23,SLN(ASS!$I$23,0,ASS!$J$23)*(12-T13)/12,0)))))</f>
        <v>456.140350877193</v>
      </c>
      <c r="U39" s="196" t="n">
        <f aca="false">IF(ASS!$J$23=0,0,IF(U11=ASS!$J$23,$E$39-SUM($F$39:T39),IF(U11&gt;TERM,0,IF(U11&lt;ASS!$J$23,SLN(ASS!$I$23,0,ASS!$J$23)*U13/12,IF(U11=ASS!$J$23,SLN(ASS!$I$23,0,ASS!$J$23)*(12-U13)/12,0)))))</f>
        <v>456.140350877193</v>
      </c>
      <c r="V39" s="196" t="n">
        <f aca="false">IF(ASS!$J$23=0,0,IF(V11=ASS!$J$23,$E$39-SUM($F$39:U39),IF(V11&gt;TERM,0,IF(V11&lt;ASS!$J$23,SLN(ASS!$I$23,0,ASS!$J$23)*V13/12,IF(V11=ASS!$J$23,SLN(ASS!$I$23,0,ASS!$J$23)*(12-V13)/12,0)))))</f>
        <v>456.140350877193</v>
      </c>
      <c r="W39" s="196" t="n">
        <f aca="false">IF(ASS!$J$23=0,0,IF(W11=ASS!$J$23,$E$39-SUM($F$39:V39),IF(W11&gt;TERM,0,IF(W11&lt;ASS!$J$23,SLN(ASS!$I$23,0,ASS!$J$23)*W13/12,IF(W11=ASS!$J$23,SLN(ASS!$I$23,0,ASS!$J$23)*(12-W13)/12,0)))))</f>
        <v>456.140350877193</v>
      </c>
      <c r="X39" s="196" t="n">
        <f aca="false">IF(ASS!$J$23=0,0,IF(X11=ASS!$J$23,$E$39-SUM($F$39:W39),IF(X11&gt;TERM,0,IF(X11&lt;ASS!$J$23,SLN(ASS!$I$23,0,ASS!$J$23)*X13/12,IF(X11=ASS!$J$23,SLN(ASS!$I$23,0,ASS!$J$23)*(12-X13)/12,0)))))</f>
        <v>456.140350877193</v>
      </c>
      <c r="Y39" s="196" t="n">
        <f aca="false">IF(ASS!$J$23=0,0,IF(Y11=ASS!$J$23,$E$39-SUM($F$39:X39),IF(Y11&gt;TERM,0,IF(Y11&lt;ASS!$J$23,SLN(ASS!$I$23,0,ASS!$J$23)*Y13/12,IF(Y11=ASS!$J$23,SLN(ASS!$I$23,0,ASS!$J$23)*(12-Y13)/12,0)))))</f>
        <v>456.140350877193</v>
      </c>
      <c r="Z39" s="196" t="n">
        <f aca="false">IF(ASS!$J$23=0,0,IF(Z11=ASS!$J$23,$E$39-SUM($F$39:Y39),IF(Z11&gt;TERM,0,IF(Z11&lt;ASS!$J$23,SLN(ASS!$I$23,0,ASS!$J$23)*Z13/12,IF(Z11=ASS!$J$23,SLN(ASS!$I$23,0,ASS!$J$23)*(12-Z13)/12,0)))))</f>
        <v>456.140350877193</v>
      </c>
      <c r="AA39" s="196" t="n">
        <f aca="false">IF(ASS!$J$23=0,0,IF(AA11=ASS!$J$23,$E$39-SUM($F$39:Z39),IF(AA11&gt;TERM,0,IF(AA11&lt;ASS!$J$23,SLN(ASS!$I$23,0,ASS!$J$23)*AA13/12,IF(AA11=ASS!$J$23,SLN(ASS!$I$23,0,ASS!$J$23)*(12-AA13)/12,0)))))</f>
        <v>456.140350877193</v>
      </c>
      <c r="AB39" s="196" t="n">
        <f aca="false">IF(ASS!$J$23=0,0,IF(AB11=ASS!$J$23,$E$39-SUM($F$39:AA39),IF(AB11&gt;TERM,0,IF(AB11&lt;ASS!$J$23,SLN(ASS!$I$23,0,ASS!$J$23)*AB13/12,IF(AB11=ASS!$J$23,SLN(ASS!$I$23,0,ASS!$J$23)*(12-AB13)/12,0)))))</f>
        <v>456.140350877193</v>
      </c>
      <c r="AC39" s="196" t="n">
        <f aca="false">IF(ASS!$J$23=0,0,IF(AC11=ASS!$J$23,$E$39-SUM($F$39:AB39),IF(AC11&gt;TERM,0,IF(AC11&lt;ASS!$J$23,SLN(ASS!$I$23,0,ASS!$J$23)*AC13/12,IF(AC11=ASS!$J$23,SLN(ASS!$I$23,0,ASS!$J$23)*(12-AC13)/12,0)))))</f>
        <v>456.140350877193</v>
      </c>
      <c r="AD39" s="196" t="n">
        <f aca="false">IF(ASS!$J$23=0,0,IF(AD11=ASS!$J$23,$E$39-SUM($F$39:AC39),IF(AD11&gt;TERM,0,IF(AD11&lt;ASS!$J$23,SLN(ASS!$I$23,0,ASS!$J$23)*AD13/12,IF(AD11=ASS!$J$23,SLN(ASS!$I$23,0,ASS!$J$23)*(12-AD13)/12,0)))))</f>
        <v>456.140350877193</v>
      </c>
      <c r="AE39" s="196" t="n">
        <f aca="false">IF(ASS!$J$23=0,0,IF(AE11=ASS!$J$23,$E$39-SUM($F$39:AD39),IF(AE11&gt;TERM,0,IF(AE11&lt;ASS!$J$23,SLN(ASS!$I$23,0,ASS!$J$23)*AE13/12,IF(AE11=ASS!$J$23,SLN(ASS!$I$23,0,ASS!$J$23)*(12-AE13)/12,0)))))</f>
        <v>456.140350877193</v>
      </c>
      <c r="AF39" s="197" t="n">
        <f aca="false">SUM(F39:AE39)</f>
        <v>11859.649122807</v>
      </c>
      <c r="AG39" s="105"/>
    </row>
    <row r="40" customFormat="false" ht="12.75" hidden="false" customHeight="false" outlineLevel="0" collapsed="false">
      <c r="A40" s="29"/>
      <c r="B40" s="30" t="s">
        <v>363</v>
      </c>
      <c r="C40" s="105"/>
      <c r="D40" s="30"/>
      <c r="E40" s="197" t="n">
        <f aca="false">SUM(E39)</f>
        <v>13000</v>
      </c>
      <c r="F40" s="196" t="n">
        <f aca="false">SUM(F39)</f>
        <v>456.140350877193</v>
      </c>
      <c r="G40" s="196" t="n">
        <f aca="false">SUM(G39)</f>
        <v>456.140350877193</v>
      </c>
      <c r="H40" s="196" t="n">
        <f aca="false">SUM(H39)</f>
        <v>456.140350877193</v>
      </c>
      <c r="I40" s="196" t="n">
        <f aca="false">SUM(I39)</f>
        <v>456.140350877193</v>
      </c>
      <c r="J40" s="196" t="n">
        <f aca="false">SUM(J39)</f>
        <v>456.140350877193</v>
      </c>
      <c r="K40" s="196" t="n">
        <f aca="false">SUM(K39)</f>
        <v>456.140350877193</v>
      </c>
      <c r="L40" s="196" t="n">
        <f aca="false">SUM(L39)</f>
        <v>456.140350877193</v>
      </c>
      <c r="M40" s="196" t="n">
        <f aca="false">SUM(M39)</f>
        <v>456.140350877193</v>
      </c>
      <c r="N40" s="196" t="n">
        <f aca="false">SUM(N39)</f>
        <v>456.140350877193</v>
      </c>
      <c r="O40" s="196" t="n">
        <f aca="false">SUM(O39)</f>
        <v>456.140350877193</v>
      </c>
      <c r="P40" s="196" t="n">
        <f aca="false">SUM(P39)</f>
        <v>456.140350877193</v>
      </c>
      <c r="Q40" s="196" t="n">
        <f aca="false">SUM(Q39)</f>
        <v>456.140350877193</v>
      </c>
      <c r="R40" s="196" t="n">
        <f aca="false">SUM(R39)</f>
        <v>456.140350877193</v>
      </c>
      <c r="S40" s="196" t="n">
        <f aca="false">SUM(S39)</f>
        <v>456.140350877193</v>
      </c>
      <c r="T40" s="196" t="n">
        <f aca="false">SUM(T39)</f>
        <v>456.140350877193</v>
      </c>
      <c r="U40" s="196" t="n">
        <f aca="false">SUM(U39)</f>
        <v>456.140350877193</v>
      </c>
      <c r="V40" s="196" t="n">
        <f aca="false">SUM(V39)</f>
        <v>456.140350877193</v>
      </c>
      <c r="W40" s="196" t="n">
        <f aca="false">SUM(W39)</f>
        <v>456.140350877193</v>
      </c>
      <c r="X40" s="196" t="n">
        <f aca="false">SUM(X39)</f>
        <v>456.140350877193</v>
      </c>
      <c r="Y40" s="196" t="n">
        <f aca="false">SUM(Y39)</f>
        <v>456.140350877193</v>
      </c>
      <c r="Z40" s="196" t="n">
        <f aca="false">SUM(Z39)</f>
        <v>456.140350877193</v>
      </c>
      <c r="AA40" s="196" t="n">
        <f aca="false">SUM(AA39)</f>
        <v>456.140350877193</v>
      </c>
      <c r="AB40" s="196" t="n">
        <f aca="false">SUM(AB39)</f>
        <v>456.140350877193</v>
      </c>
      <c r="AC40" s="196" t="n">
        <f aca="false">SUM(AC39)</f>
        <v>456.140350877193</v>
      </c>
      <c r="AD40" s="196" t="n">
        <f aca="false">SUM(AD39)</f>
        <v>456.140350877193</v>
      </c>
      <c r="AE40" s="196" t="n">
        <f aca="false">SUM(AE39)</f>
        <v>456.140350877193</v>
      </c>
      <c r="AF40" s="197" t="n">
        <f aca="false">SUM(F40:AE40)</f>
        <v>11859.649122807</v>
      </c>
      <c r="AG40" s="0"/>
    </row>
    <row r="41" customFormat="false" ht="12.75" hidden="false" customHeight="false" outlineLevel="0" collapsed="false">
      <c r="A41" s="29"/>
      <c r="B41" s="375" t="s">
        <v>364</v>
      </c>
      <c r="C41" s="105"/>
      <c r="D41" s="30"/>
      <c r="E41" s="197"/>
      <c r="F41" s="376" t="n">
        <f aca="false">SUM($F$40:F40)</f>
        <v>456.140350877193</v>
      </c>
      <c r="G41" s="376" t="n">
        <f aca="false">SUM($F$40:G40)</f>
        <v>912.280701754386</v>
      </c>
      <c r="H41" s="376" t="n">
        <f aca="false">SUM($F$40:H40)</f>
        <v>1368.42105263158</v>
      </c>
      <c r="I41" s="376" t="n">
        <f aca="false">SUM($F$40:I40)</f>
        <v>1824.56140350877</v>
      </c>
      <c r="J41" s="376" t="n">
        <f aca="false">SUM($F$40:J40)</f>
        <v>2280.70175438596</v>
      </c>
      <c r="K41" s="376" t="n">
        <f aca="false">SUM($F$40:K40)</f>
        <v>2736.84210526316</v>
      </c>
      <c r="L41" s="376" t="n">
        <f aca="false">SUM($F$40:L40)</f>
        <v>3192.98245614035</v>
      </c>
      <c r="M41" s="376" t="n">
        <f aca="false">SUM($F$40:M40)</f>
        <v>3649.12280701754</v>
      </c>
      <c r="N41" s="376" t="n">
        <f aca="false">SUM($F$40:N40)</f>
        <v>4105.26315789474</v>
      </c>
      <c r="O41" s="376" t="n">
        <f aca="false">SUM($F$40:O40)</f>
        <v>4561.40350877193</v>
      </c>
      <c r="P41" s="376" t="n">
        <f aca="false">SUM($F$40:P40)</f>
        <v>5017.54385964912</v>
      </c>
      <c r="Q41" s="376" t="n">
        <f aca="false">SUM($F$40:Q40)</f>
        <v>5473.68421052632</v>
      </c>
      <c r="R41" s="376" t="n">
        <f aca="false">SUM($F$40:R40)</f>
        <v>5929.82456140351</v>
      </c>
      <c r="S41" s="376" t="n">
        <f aca="false">SUM($F$40:S40)</f>
        <v>6385.9649122807</v>
      </c>
      <c r="T41" s="376" t="n">
        <f aca="false">SUM($F$40:T40)</f>
        <v>6842.1052631579</v>
      </c>
      <c r="U41" s="376" t="n">
        <f aca="false">SUM($F$40:U40)</f>
        <v>7298.24561403509</v>
      </c>
      <c r="V41" s="376" t="n">
        <f aca="false">SUM($F$40:V40)</f>
        <v>7754.38596491228</v>
      </c>
      <c r="W41" s="376" t="n">
        <f aca="false">SUM($F$40:W40)</f>
        <v>8210.52631578947</v>
      </c>
      <c r="X41" s="376" t="n">
        <f aca="false">SUM($F$40:X40)</f>
        <v>8666.66666666667</v>
      </c>
      <c r="Y41" s="376" t="n">
        <f aca="false">SUM($F$40:Y40)</f>
        <v>9122.80701754386</v>
      </c>
      <c r="Z41" s="376" t="n">
        <f aca="false">SUM($F$40:Z40)</f>
        <v>9578.94736842105</v>
      </c>
      <c r="AA41" s="376" t="n">
        <f aca="false">SUM($F$40:AA40)</f>
        <v>10035.0877192982</v>
      </c>
      <c r="AB41" s="376" t="n">
        <f aca="false">SUM($F$40:AB40)</f>
        <v>10491.2280701754</v>
      </c>
      <c r="AC41" s="376" t="n">
        <f aca="false">SUM($F$40:AC40)</f>
        <v>10947.3684210526</v>
      </c>
      <c r="AD41" s="376" t="n">
        <f aca="false">SUM($F$40:AD40)</f>
        <v>11403.5087719298</v>
      </c>
      <c r="AE41" s="376" t="n">
        <f aca="false">SUM($F$40:AE40)</f>
        <v>11859.649122807</v>
      </c>
      <c r="AF41" s="197"/>
      <c r="AG41" s="0"/>
    </row>
    <row r="42" customFormat="false" ht="12.75" hidden="false" customHeight="false" outlineLevel="0" collapsed="false">
      <c r="A42" s="29"/>
      <c r="B42" s="30"/>
      <c r="C42" s="105"/>
      <c r="D42" s="30"/>
      <c r="E42" s="197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6"/>
      <c r="Z42" s="196"/>
      <c r="AA42" s="196"/>
      <c r="AB42" s="196"/>
      <c r="AC42" s="196"/>
      <c r="AD42" s="196"/>
      <c r="AE42" s="196"/>
      <c r="AF42" s="197"/>
      <c r="AG42" s="0"/>
    </row>
    <row r="43" customFormat="false" ht="12.75" hidden="false" customHeight="false" outlineLevel="0" collapsed="false">
      <c r="A43" s="29"/>
      <c r="B43" s="30" t="s">
        <v>365</v>
      </c>
      <c r="C43" s="105"/>
      <c r="D43" s="30"/>
      <c r="E43" s="197"/>
      <c r="F43" s="196" t="n">
        <v>0</v>
      </c>
      <c r="G43" s="196" t="n">
        <f aca="false">F46</f>
        <v>12543.8596491228</v>
      </c>
      <c r="H43" s="196" t="n">
        <f aca="false">G46</f>
        <v>12087.7192982456</v>
      </c>
      <c r="I43" s="196" t="n">
        <f aca="false">H46</f>
        <v>11631.5789473684</v>
      </c>
      <c r="J43" s="196" t="n">
        <f aca="false">I46</f>
        <v>11175.4385964912</v>
      </c>
      <c r="K43" s="196" t="n">
        <f aca="false">J46</f>
        <v>10719.298245614</v>
      </c>
      <c r="L43" s="196" t="n">
        <f aca="false">K46</f>
        <v>10263.1578947368</v>
      </c>
      <c r="M43" s="196" t="n">
        <f aca="false">L46</f>
        <v>9807.01754385965</v>
      </c>
      <c r="N43" s="196" t="n">
        <f aca="false">M46</f>
        <v>9350.87719298246</v>
      </c>
      <c r="O43" s="196" t="n">
        <f aca="false">N46</f>
        <v>8894.73684210527</v>
      </c>
      <c r="P43" s="196" t="n">
        <f aca="false">O46</f>
        <v>8438.59649122807</v>
      </c>
      <c r="Q43" s="196" t="n">
        <f aca="false">P46</f>
        <v>7982.45614035088</v>
      </c>
      <c r="R43" s="196" t="n">
        <f aca="false">Q46</f>
        <v>7526.31578947369</v>
      </c>
      <c r="S43" s="196" t="n">
        <f aca="false">R46</f>
        <v>7070.17543859649</v>
      </c>
      <c r="T43" s="196" t="n">
        <f aca="false">S46</f>
        <v>6614.0350877193</v>
      </c>
      <c r="U43" s="196" t="n">
        <f aca="false">T46</f>
        <v>6157.89473684211</v>
      </c>
      <c r="V43" s="196" t="n">
        <f aca="false">U46</f>
        <v>5701.75438596492</v>
      </c>
      <c r="W43" s="196" t="n">
        <f aca="false">V46</f>
        <v>5245.61403508772</v>
      </c>
      <c r="X43" s="196" t="n">
        <f aca="false">W46</f>
        <v>4789.47368421053</v>
      </c>
      <c r="Y43" s="196" t="n">
        <f aca="false">X46</f>
        <v>4333.33333333334</v>
      </c>
      <c r="Z43" s="196" t="n">
        <f aca="false">Y46</f>
        <v>3877.19298245615</v>
      </c>
      <c r="AA43" s="196" t="n">
        <f aca="false">Z46</f>
        <v>3421.05263157895</v>
      </c>
      <c r="AB43" s="196" t="n">
        <f aca="false">AA46</f>
        <v>2964.91228070176</v>
      </c>
      <c r="AC43" s="196" t="n">
        <f aca="false">AB46</f>
        <v>2508.77192982457</v>
      </c>
      <c r="AD43" s="196" t="n">
        <f aca="false">AC46</f>
        <v>2052.63157894737</v>
      </c>
      <c r="AE43" s="196" t="n">
        <f aca="false">AD46</f>
        <v>1596.49122807018</v>
      </c>
      <c r="AF43" s="197"/>
      <c r="AG43" s="0"/>
    </row>
    <row r="44" customFormat="false" ht="12.75" hidden="false" customHeight="false" outlineLevel="0" collapsed="false">
      <c r="A44" s="29"/>
      <c r="B44" s="30" t="s">
        <v>358</v>
      </c>
      <c r="C44" s="30"/>
      <c r="D44" s="30"/>
      <c r="E44" s="197"/>
      <c r="F44" s="196" t="n">
        <f aca="false">E40</f>
        <v>13000</v>
      </c>
      <c r="G44" s="196" t="n">
        <v>0</v>
      </c>
      <c r="H44" s="196" t="n">
        <v>0</v>
      </c>
      <c r="I44" s="196" t="n">
        <v>0</v>
      </c>
      <c r="J44" s="196" t="n">
        <v>0</v>
      </c>
      <c r="K44" s="196" t="n">
        <v>0</v>
      </c>
      <c r="L44" s="196" t="n">
        <v>0</v>
      </c>
      <c r="M44" s="196" t="n">
        <v>0</v>
      </c>
      <c r="N44" s="196" t="n">
        <v>0</v>
      </c>
      <c r="O44" s="196" t="n">
        <v>0</v>
      </c>
      <c r="P44" s="196" t="n">
        <v>0</v>
      </c>
      <c r="Q44" s="196" t="n">
        <v>0</v>
      </c>
      <c r="R44" s="196" t="n">
        <v>0</v>
      </c>
      <c r="S44" s="196" t="n">
        <v>0</v>
      </c>
      <c r="T44" s="196" t="n">
        <v>0</v>
      </c>
      <c r="U44" s="196" t="n">
        <v>0</v>
      </c>
      <c r="V44" s="196" t="n">
        <v>0</v>
      </c>
      <c r="W44" s="196" t="n">
        <v>0</v>
      </c>
      <c r="X44" s="196" t="n">
        <v>0</v>
      </c>
      <c r="Y44" s="196" t="n">
        <v>0</v>
      </c>
      <c r="Z44" s="196" t="n">
        <v>0</v>
      </c>
      <c r="AA44" s="196" t="n">
        <v>0</v>
      </c>
      <c r="AB44" s="196" t="n">
        <v>0</v>
      </c>
      <c r="AC44" s="196" t="n">
        <v>0</v>
      </c>
      <c r="AD44" s="196" t="n">
        <v>0</v>
      </c>
      <c r="AE44" s="196" t="n">
        <v>0</v>
      </c>
      <c r="AF44" s="197" t="n">
        <f aca="false">SUM(F44:AE44)</f>
        <v>13000</v>
      </c>
      <c r="AG44" s="0"/>
    </row>
    <row r="45" customFormat="false" ht="12.75" hidden="false" customHeight="false" outlineLevel="0" collapsed="false">
      <c r="A45" s="29"/>
      <c r="B45" s="30" t="s">
        <v>359</v>
      </c>
      <c r="C45" s="30"/>
      <c r="D45" s="30"/>
      <c r="E45" s="197"/>
      <c r="F45" s="203" t="n">
        <f aca="false">-F40</f>
        <v>-456.140350877193</v>
      </c>
      <c r="G45" s="203" t="n">
        <f aca="false">-G40</f>
        <v>-456.140350877193</v>
      </c>
      <c r="H45" s="203" t="n">
        <f aca="false">-H40</f>
        <v>-456.140350877193</v>
      </c>
      <c r="I45" s="203" t="n">
        <f aca="false">-I40</f>
        <v>-456.140350877193</v>
      </c>
      <c r="J45" s="203" t="n">
        <f aca="false">-J40</f>
        <v>-456.140350877193</v>
      </c>
      <c r="K45" s="203" t="n">
        <f aca="false">-K40</f>
        <v>-456.140350877193</v>
      </c>
      <c r="L45" s="203" t="n">
        <f aca="false">-L40</f>
        <v>-456.140350877193</v>
      </c>
      <c r="M45" s="203" t="n">
        <f aca="false">-M40</f>
        <v>-456.140350877193</v>
      </c>
      <c r="N45" s="203" t="n">
        <f aca="false">-N40</f>
        <v>-456.140350877193</v>
      </c>
      <c r="O45" s="203" t="n">
        <f aca="false">-O40</f>
        <v>-456.140350877193</v>
      </c>
      <c r="P45" s="203" t="n">
        <f aca="false">-P40</f>
        <v>-456.140350877193</v>
      </c>
      <c r="Q45" s="203" t="n">
        <f aca="false">-Q40</f>
        <v>-456.140350877193</v>
      </c>
      <c r="R45" s="203" t="n">
        <f aca="false">-R40</f>
        <v>-456.140350877193</v>
      </c>
      <c r="S45" s="203" t="n">
        <f aca="false">-S40</f>
        <v>-456.140350877193</v>
      </c>
      <c r="T45" s="203" t="n">
        <f aca="false">-T40</f>
        <v>-456.140350877193</v>
      </c>
      <c r="U45" s="203" t="n">
        <f aca="false">-U40</f>
        <v>-456.140350877193</v>
      </c>
      <c r="V45" s="203" t="n">
        <f aca="false">-V40</f>
        <v>-456.140350877193</v>
      </c>
      <c r="W45" s="203" t="n">
        <f aca="false">-W40</f>
        <v>-456.140350877193</v>
      </c>
      <c r="X45" s="203" t="n">
        <f aca="false">-X40</f>
        <v>-456.140350877193</v>
      </c>
      <c r="Y45" s="203" t="n">
        <f aca="false">-Y40</f>
        <v>-456.140350877193</v>
      </c>
      <c r="Z45" s="203" t="n">
        <f aca="false">-Z40</f>
        <v>-456.140350877193</v>
      </c>
      <c r="AA45" s="203" t="n">
        <f aca="false">-AA40</f>
        <v>-456.140350877193</v>
      </c>
      <c r="AB45" s="203" t="n">
        <f aca="false">-AB40</f>
        <v>-456.140350877193</v>
      </c>
      <c r="AC45" s="203" t="n">
        <f aca="false">-AC40</f>
        <v>-456.140350877193</v>
      </c>
      <c r="AD45" s="203" t="n">
        <f aca="false">-AD40</f>
        <v>-456.140350877193</v>
      </c>
      <c r="AE45" s="203" t="n">
        <f aca="false">-AE40</f>
        <v>-456.140350877193</v>
      </c>
      <c r="AF45" s="197" t="n">
        <f aca="false">SUM(F45:AE45)</f>
        <v>-11859.649122807</v>
      </c>
      <c r="AG45" s="0"/>
    </row>
    <row r="46" customFormat="false" ht="12.75" hidden="false" customHeight="false" outlineLevel="0" collapsed="false">
      <c r="A46" s="57"/>
      <c r="B46" s="58" t="s">
        <v>366</v>
      </c>
      <c r="C46" s="58" t="s">
        <v>1</v>
      </c>
      <c r="D46" s="58"/>
      <c r="E46" s="377"/>
      <c r="F46" s="257" t="n">
        <f aca="false">SUM(F43:F45)</f>
        <v>12543.8596491228</v>
      </c>
      <c r="G46" s="257" t="n">
        <f aca="false">SUM(G43:G45)</f>
        <v>12087.7192982456</v>
      </c>
      <c r="H46" s="257" t="n">
        <f aca="false">SUM(H43:H45)</f>
        <v>11631.5789473684</v>
      </c>
      <c r="I46" s="257" t="n">
        <f aca="false">SUM(I43:I45)</f>
        <v>11175.4385964912</v>
      </c>
      <c r="J46" s="257" t="n">
        <f aca="false">SUM(J43:J45)</f>
        <v>10719.298245614</v>
      </c>
      <c r="K46" s="257" t="n">
        <f aca="false">SUM(K43:K45)</f>
        <v>10263.1578947368</v>
      </c>
      <c r="L46" s="257" t="n">
        <f aca="false">SUM(L43:L45)</f>
        <v>9807.01754385965</v>
      </c>
      <c r="M46" s="257" t="n">
        <f aca="false">SUM(M43:M45)</f>
        <v>9350.87719298246</v>
      </c>
      <c r="N46" s="257" t="n">
        <f aca="false">SUM(N43:N45)</f>
        <v>8894.73684210527</v>
      </c>
      <c r="O46" s="257" t="n">
        <f aca="false">SUM(O43:O45)</f>
        <v>8438.59649122807</v>
      </c>
      <c r="P46" s="257" t="n">
        <f aca="false">SUM(P43:P45)</f>
        <v>7982.45614035088</v>
      </c>
      <c r="Q46" s="257" t="n">
        <f aca="false">SUM(Q43:Q45)</f>
        <v>7526.31578947369</v>
      </c>
      <c r="R46" s="257" t="n">
        <f aca="false">SUM(R43:R45)</f>
        <v>7070.17543859649</v>
      </c>
      <c r="S46" s="257" t="n">
        <f aca="false">SUM(S43:S45)</f>
        <v>6614.0350877193</v>
      </c>
      <c r="T46" s="257" t="n">
        <f aca="false">SUM(T43:T45)</f>
        <v>6157.89473684211</v>
      </c>
      <c r="U46" s="257" t="n">
        <f aca="false">SUM(U43:U45)</f>
        <v>5701.75438596492</v>
      </c>
      <c r="V46" s="257" t="n">
        <f aca="false">SUM(V43:V45)</f>
        <v>5245.61403508772</v>
      </c>
      <c r="W46" s="257" t="n">
        <f aca="false">SUM(W43:W45)</f>
        <v>4789.47368421053</v>
      </c>
      <c r="X46" s="257" t="n">
        <f aca="false">SUM(X43:X45)</f>
        <v>4333.33333333334</v>
      </c>
      <c r="Y46" s="257" t="n">
        <f aca="false">SUM(Y43:Y45)</f>
        <v>3877.19298245615</v>
      </c>
      <c r="Z46" s="257" t="n">
        <f aca="false">SUM(Z43:Z45)</f>
        <v>3421.05263157895</v>
      </c>
      <c r="AA46" s="257" t="n">
        <f aca="false">SUM(AA43:AA45)</f>
        <v>2964.91228070176</v>
      </c>
      <c r="AB46" s="257" t="n">
        <f aca="false">SUM(AB43:AB45)</f>
        <v>2508.77192982457</v>
      </c>
      <c r="AC46" s="257" t="n">
        <f aca="false">SUM(AC43:AC45)</f>
        <v>2052.63157894737</v>
      </c>
      <c r="AD46" s="257" t="n">
        <f aca="false">SUM(AD43:AD45)</f>
        <v>1596.49122807018</v>
      </c>
      <c r="AE46" s="257" t="n">
        <f aca="false">SUM(AE43:AE45)</f>
        <v>1140.35087719299</v>
      </c>
      <c r="AF46" s="377"/>
      <c r="AG46" s="0"/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false" showOutlineSymbols="true" defaultGridColor="true" view="normal" topLeftCell="A74" colorId="64" zoomScale="100" zoomScaleNormal="100" zoomScalePageLayoutView="100" workbookViewId="0">
      <selection pane="topLeft" activeCell="I31" activeCellId="0" sqref="I3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1" width="9.14"/>
    <col collapsed="false" customWidth="true" hidden="false" outlineLevel="0" max="4" min="4" style="1" width="14.14"/>
    <col collapsed="false" customWidth="true" hidden="false" outlineLevel="0" max="5" min="5" style="1" width="8.41"/>
    <col collapsed="false" customWidth="false" hidden="false" outlineLevel="0" max="23" min="6" style="1" width="9.14"/>
    <col collapsed="false" customWidth="true" hidden="false" outlineLevel="0" max="32" min="24" style="1" width="9.7"/>
    <col collapsed="false" customWidth="true" hidden="false" outlineLevel="0" max="33" min="33" style="1" width="10.13"/>
    <col collapsed="false" customWidth="false" hidden="false" outlineLevel="0" max="257" min="34" style="1" width="9.14"/>
  </cols>
  <sheetData>
    <row r="1" customFormat="false" ht="15.75" hidden="false" customHeight="false" outlineLevel="0" collapsed="false">
      <c r="A1" s="2" t="s">
        <v>368</v>
      </c>
      <c r="B1" s="137"/>
      <c r="C1" s="265"/>
      <c r="D1" s="226"/>
      <c r="E1" s="0"/>
    </row>
    <row r="2" customFormat="false" ht="15.75" hidden="false" customHeight="false" outlineLevel="0" collapsed="false">
      <c r="A2" s="185" t="n">
        <f aca="false">ASS!A4</f>
        <v>0</v>
      </c>
      <c r="B2" s="61"/>
      <c r="C2" s="70"/>
      <c r="D2" s="227"/>
      <c r="E2" s="0"/>
    </row>
    <row r="3" customFormat="false" ht="15.75" hidden="false" customHeight="false" outlineLevel="0" collapsed="false">
      <c r="A3" s="186" t="str">
        <f aca="false">ASS!A5</f>
        <v>BASE MODEL</v>
      </c>
      <c r="B3" s="381"/>
      <c r="C3" s="266"/>
      <c r="D3" s="228"/>
      <c r="E3" s="0"/>
    </row>
    <row r="4" customFormat="false" ht="15.75" hidden="false" customHeight="false" outlineLevel="0" collapsed="false">
      <c r="A4" s="8"/>
      <c r="B4" s="61"/>
      <c r="C4" s="70"/>
      <c r="D4" s="70"/>
      <c r="E4" s="0"/>
    </row>
    <row r="5" customFormat="false" ht="12.75" hidden="false" customHeight="false" outlineLevel="0" collapsed="false">
      <c r="F5" s="184" t="s">
        <v>369</v>
      </c>
      <c r="G5" s="6" t="n">
        <f aca="false">CF!D5</f>
        <v>1</v>
      </c>
      <c r="H5" s="6" t="n">
        <f aca="false">CF!E5</f>
        <v>2</v>
      </c>
      <c r="I5" s="6" t="n">
        <f aca="false">CF!F5</f>
        <v>3</v>
      </c>
      <c r="J5" s="382" t="n">
        <v>4</v>
      </c>
      <c r="K5" s="382" t="n">
        <v>5</v>
      </c>
      <c r="L5" s="382" t="n">
        <v>6</v>
      </c>
      <c r="M5" s="382" t="n">
        <v>7</v>
      </c>
      <c r="N5" s="382" t="n">
        <v>8</v>
      </c>
      <c r="O5" s="382" t="n">
        <v>9</v>
      </c>
      <c r="P5" s="382" t="n">
        <v>10</v>
      </c>
      <c r="Q5" s="382" t="n">
        <v>11</v>
      </c>
      <c r="R5" s="382" t="n">
        <v>12</v>
      </c>
      <c r="S5" s="382" t="n">
        <v>13</v>
      </c>
      <c r="T5" s="382" t="n">
        <v>14</v>
      </c>
      <c r="U5" s="382" t="n">
        <v>15</v>
      </c>
      <c r="V5" s="382" t="n">
        <v>16</v>
      </c>
      <c r="W5" s="382" t="n">
        <v>17</v>
      </c>
      <c r="X5" s="382" t="n">
        <v>18</v>
      </c>
      <c r="Y5" s="382" t="n">
        <v>19</v>
      </c>
      <c r="Z5" s="382" t="n">
        <v>20</v>
      </c>
      <c r="AA5" s="382" t="n">
        <v>21</v>
      </c>
      <c r="AB5" s="382" t="n">
        <v>22</v>
      </c>
      <c r="AC5" s="382" t="n">
        <v>23</v>
      </c>
      <c r="AD5" s="382" t="n">
        <v>24</v>
      </c>
      <c r="AE5" s="382" t="n">
        <v>25</v>
      </c>
      <c r="AF5" s="382" t="n">
        <v>26</v>
      </c>
      <c r="AG5" s="187"/>
    </row>
    <row r="6" customFormat="false" ht="12.75" hidden="false" customHeight="false" outlineLevel="0" collapsed="false">
      <c r="A6" s="383" t="s">
        <v>370</v>
      </c>
      <c r="F6" s="184" t="s">
        <v>371</v>
      </c>
      <c r="G6" s="6" t="n">
        <f aca="false">CF!D6</f>
        <v>2001</v>
      </c>
      <c r="H6" s="6" t="n">
        <f aca="false">CF!E6</f>
        <v>2002</v>
      </c>
      <c r="I6" s="6" t="n">
        <f aca="false">CF!F6</f>
        <v>2003</v>
      </c>
      <c r="J6" s="382" t="n">
        <v>2004</v>
      </c>
      <c r="K6" s="382" t="n">
        <v>2005</v>
      </c>
      <c r="L6" s="382" t="n">
        <v>2006</v>
      </c>
      <c r="M6" s="382" t="n">
        <v>2007</v>
      </c>
      <c r="N6" s="382" t="n">
        <v>2008</v>
      </c>
      <c r="O6" s="382" t="n">
        <v>2009</v>
      </c>
      <c r="P6" s="382" t="n">
        <v>2010</v>
      </c>
      <c r="Q6" s="382" t="n">
        <v>2011</v>
      </c>
      <c r="R6" s="382" t="n">
        <v>2012</v>
      </c>
      <c r="S6" s="382" t="n">
        <v>2013</v>
      </c>
      <c r="T6" s="382" t="n">
        <v>2014</v>
      </c>
      <c r="U6" s="382" t="n">
        <v>2015</v>
      </c>
      <c r="V6" s="382" t="n">
        <v>2016</v>
      </c>
      <c r="W6" s="382" t="n">
        <v>2017</v>
      </c>
      <c r="X6" s="382" t="n">
        <v>2018</v>
      </c>
      <c r="Y6" s="382" t="n">
        <v>2019</v>
      </c>
      <c r="Z6" s="382" t="n">
        <v>2020</v>
      </c>
      <c r="AA6" s="382" t="n">
        <v>2021</v>
      </c>
      <c r="AB6" s="382" t="n">
        <v>2022</v>
      </c>
      <c r="AC6" s="382" t="n">
        <v>2023</v>
      </c>
      <c r="AD6" s="382" t="n">
        <v>2024</v>
      </c>
      <c r="AE6" s="382" t="n">
        <v>2025</v>
      </c>
      <c r="AF6" s="382" t="n">
        <v>2026</v>
      </c>
      <c r="AG6" s="231" t="s">
        <v>196</v>
      </c>
    </row>
    <row r="7" customFormat="false" ht="12.75" hidden="false" customHeight="false" outlineLevel="0" collapsed="false">
      <c r="A7" s="18" t="s">
        <v>372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93"/>
    </row>
    <row r="8" customFormat="false" ht="12.75" hidden="false" customHeight="false" outlineLevel="0" collapsed="false">
      <c r="A8" s="29"/>
      <c r="B8" s="30" t="s">
        <v>373</v>
      </c>
      <c r="C8" s="30"/>
      <c r="D8" s="30"/>
      <c r="E8" s="30"/>
      <c r="F8" s="304" t="n">
        <v>0</v>
      </c>
      <c r="G8" s="196" t="n">
        <f aca="false">$F$8+G87</f>
        <v>0</v>
      </c>
      <c r="H8" s="196" t="n">
        <f aca="false">$F$8+H87</f>
        <v>0</v>
      </c>
      <c r="I8" s="196" t="n">
        <f aca="false">$F$8+I87</f>
        <v>0</v>
      </c>
      <c r="J8" s="213" t="n">
        <v>0</v>
      </c>
      <c r="K8" s="213" t="n">
        <v>0</v>
      </c>
      <c r="L8" s="213" t="n">
        <v>0</v>
      </c>
      <c r="M8" s="213" t="n">
        <v>0</v>
      </c>
      <c r="N8" s="213" t="n">
        <v>0</v>
      </c>
      <c r="O8" s="213" t="n">
        <v>0</v>
      </c>
      <c r="P8" s="213" t="n">
        <v>0</v>
      </c>
      <c r="Q8" s="213" t="n">
        <v>0</v>
      </c>
      <c r="R8" s="213" t="n">
        <v>0</v>
      </c>
      <c r="S8" s="213" t="n">
        <v>0</v>
      </c>
      <c r="T8" s="213" t="n">
        <v>0</v>
      </c>
      <c r="U8" s="213" t="n">
        <v>0</v>
      </c>
      <c r="V8" s="213" t="n">
        <v>0</v>
      </c>
      <c r="W8" s="213" t="n">
        <v>0</v>
      </c>
      <c r="X8" s="213" t="n">
        <v>0</v>
      </c>
      <c r="Y8" s="213" t="n">
        <v>0</v>
      </c>
      <c r="Z8" s="213" t="n">
        <v>0</v>
      </c>
      <c r="AA8" s="213" t="n">
        <v>0</v>
      </c>
      <c r="AB8" s="213" t="n">
        <v>0</v>
      </c>
      <c r="AC8" s="213" t="n">
        <v>0</v>
      </c>
      <c r="AD8" s="213" t="n">
        <v>0</v>
      </c>
      <c r="AE8" s="213" t="n">
        <v>0</v>
      </c>
      <c r="AF8" s="213" t="n">
        <v>0</v>
      </c>
      <c r="AG8" s="197" t="n">
        <f aca="false">SUM(F8:AA8)</f>
        <v>0</v>
      </c>
    </row>
    <row r="9" customFormat="false" ht="12.75" hidden="false" customHeight="false" outlineLevel="0" collapsed="false">
      <c r="A9" s="29"/>
      <c r="B9" s="30" t="s">
        <v>157</v>
      </c>
      <c r="C9" s="30"/>
      <c r="D9" s="30"/>
      <c r="E9" s="30"/>
      <c r="F9" s="304" t="n">
        <v>0</v>
      </c>
      <c r="G9" s="196" t="n">
        <f aca="false">F9+(-CF!D65-CF!D66)</f>
        <v>0</v>
      </c>
      <c r="H9" s="196" t="n">
        <f aca="false">G9+(-CF!E65-CF!E66)</f>
        <v>0</v>
      </c>
      <c r="I9" s="196" t="n">
        <f aca="false">H9+(-CF!F65-CF!F66)</f>
        <v>0</v>
      </c>
      <c r="J9" s="213" t="n">
        <v>0</v>
      </c>
      <c r="K9" s="213" t="n">
        <v>0</v>
      </c>
      <c r="L9" s="213" t="n">
        <v>0</v>
      </c>
      <c r="M9" s="213" t="n">
        <v>0</v>
      </c>
      <c r="N9" s="213" t="n">
        <v>0</v>
      </c>
      <c r="O9" s="213" t="n">
        <v>0</v>
      </c>
      <c r="P9" s="213" t="n">
        <v>0</v>
      </c>
      <c r="Q9" s="213" t="n">
        <v>0</v>
      </c>
      <c r="R9" s="213" t="n">
        <v>0</v>
      </c>
      <c r="S9" s="213" t="n">
        <v>0</v>
      </c>
      <c r="T9" s="213" t="n">
        <v>0</v>
      </c>
      <c r="U9" s="213" t="n">
        <v>0</v>
      </c>
      <c r="V9" s="213" t="n">
        <v>0</v>
      </c>
      <c r="W9" s="213" t="n">
        <v>0</v>
      </c>
      <c r="X9" s="213" t="n">
        <v>0</v>
      </c>
      <c r="Y9" s="213" t="n">
        <v>0</v>
      </c>
      <c r="Z9" s="213" t="n">
        <v>0</v>
      </c>
      <c r="AA9" s="213" t="n">
        <v>0</v>
      </c>
      <c r="AB9" s="213" t="n">
        <v>0</v>
      </c>
      <c r="AC9" s="213" t="n">
        <v>0</v>
      </c>
      <c r="AD9" s="213" t="n">
        <v>0</v>
      </c>
      <c r="AE9" s="213" t="n">
        <v>0</v>
      </c>
      <c r="AF9" s="213" t="n">
        <v>0</v>
      </c>
      <c r="AG9" s="197"/>
    </row>
    <row r="10" customFormat="false" ht="12.75" hidden="false" customHeight="false" outlineLevel="0" collapsed="false">
      <c r="A10" s="29"/>
      <c r="B10" s="30" t="s">
        <v>374</v>
      </c>
      <c r="C10" s="30"/>
      <c r="D10" s="30"/>
      <c r="E10" s="30"/>
      <c r="F10" s="384" t="n">
        <v>0</v>
      </c>
      <c r="G10" s="213" t="n">
        <v>0</v>
      </c>
      <c r="H10" s="213" t="n">
        <v>0</v>
      </c>
      <c r="I10" s="213" t="n">
        <v>0</v>
      </c>
      <c r="J10" s="213" t="n">
        <v>0</v>
      </c>
      <c r="K10" s="213" t="n">
        <v>0</v>
      </c>
      <c r="L10" s="213" t="n">
        <v>0</v>
      </c>
      <c r="M10" s="213" t="n">
        <v>0</v>
      </c>
      <c r="N10" s="213" t="n">
        <v>0</v>
      </c>
      <c r="O10" s="213" t="n">
        <v>0</v>
      </c>
      <c r="P10" s="213" t="n">
        <v>0</v>
      </c>
      <c r="Q10" s="213" t="n">
        <v>0</v>
      </c>
      <c r="R10" s="213" t="n">
        <v>0</v>
      </c>
      <c r="S10" s="213" t="n">
        <v>0</v>
      </c>
      <c r="T10" s="213" t="n">
        <v>0</v>
      </c>
      <c r="U10" s="213" t="n">
        <v>0</v>
      </c>
      <c r="V10" s="213" t="n">
        <v>0</v>
      </c>
      <c r="W10" s="213" t="n">
        <v>0</v>
      </c>
      <c r="X10" s="213" t="n">
        <v>0</v>
      </c>
      <c r="Y10" s="213" t="n">
        <v>0</v>
      </c>
      <c r="Z10" s="213" t="n">
        <v>0</v>
      </c>
      <c r="AA10" s="213" t="n">
        <v>0</v>
      </c>
      <c r="AB10" s="213" t="n">
        <v>0</v>
      </c>
      <c r="AC10" s="213" t="n">
        <v>0</v>
      </c>
      <c r="AD10" s="213" t="n">
        <v>0</v>
      </c>
      <c r="AE10" s="213" t="n">
        <v>0</v>
      </c>
      <c r="AF10" s="213" t="n">
        <v>0</v>
      </c>
      <c r="AG10" s="197" t="n">
        <f aca="false">SUM(F10:AA10)</f>
        <v>0</v>
      </c>
    </row>
    <row r="11" customFormat="false" ht="12.75" hidden="false" customHeight="false" outlineLevel="0" collapsed="false">
      <c r="A11" s="29"/>
      <c r="B11" s="30" t="s">
        <v>375</v>
      </c>
      <c r="C11" s="30"/>
      <c r="D11" s="30"/>
      <c r="E11" s="30"/>
      <c r="F11" s="304" t="n">
        <v>0</v>
      </c>
      <c r="G11" s="196" t="n">
        <f aca="false">IF(G5&lt;TERM,SPARES,0)</f>
        <v>0</v>
      </c>
      <c r="H11" s="196" t="n">
        <f aca="false">IF(H5&lt;TERM,SPARES,0)</f>
        <v>0</v>
      </c>
      <c r="I11" s="196" t="n">
        <f aca="false">IF(I5&lt;TERM,SPARES,0)</f>
        <v>0</v>
      </c>
      <c r="J11" s="196" t="n">
        <f aca="false">IF(J5&lt;TERM,SPARES,0)</f>
        <v>0</v>
      </c>
      <c r="K11" s="196" t="n">
        <f aca="false">IF(K5&lt;TERM,SPARES,0)</f>
        <v>0</v>
      </c>
      <c r="L11" s="196" t="n">
        <f aca="false">IF(L5&lt;TERM,SPARES,0)</f>
        <v>0</v>
      </c>
      <c r="M11" s="196" t="n">
        <f aca="false">IF(M5&lt;TERM,SPARES,0)</f>
        <v>0</v>
      </c>
      <c r="N11" s="196" t="n">
        <f aca="false">IF(N5&lt;TERM,SPARES,0)</f>
        <v>0</v>
      </c>
      <c r="O11" s="196" t="n">
        <f aca="false">IF(O5&lt;TERM,SPARES,0)</f>
        <v>0</v>
      </c>
      <c r="P11" s="196" t="n">
        <f aca="false">IF(P5&lt;TERM,SPARES,0)</f>
        <v>0</v>
      </c>
      <c r="Q11" s="196" t="n">
        <f aca="false">IF(Q5&lt;TERM,SPARES,0)</f>
        <v>0</v>
      </c>
      <c r="R11" s="196" t="n">
        <f aca="false">IF(R5&lt;TERM,SPARES,0)</f>
        <v>0</v>
      </c>
      <c r="S11" s="196" t="n">
        <f aca="false">IF(S5&lt;TERM,SPARES,0)</f>
        <v>0</v>
      </c>
      <c r="T11" s="196" t="n">
        <f aca="false">IF(T5&lt;TERM,SPARES,0)</f>
        <v>0</v>
      </c>
      <c r="U11" s="196" t="n">
        <f aca="false">IF(U5&lt;TERM,SPARES,0)</f>
        <v>0</v>
      </c>
      <c r="V11" s="196" t="n">
        <f aca="false">IF(V5&lt;TERM,SPARES,0)</f>
        <v>0</v>
      </c>
      <c r="W11" s="196" t="n">
        <f aca="false">IF(W5&lt;TERM,SPARES,0)</f>
        <v>0</v>
      </c>
      <c r="X11" s="196" t="n">
        <f aca="false">IF(X5&lt;TERM,SPARES,0)</f>
        <v>0</v>
      </c>
      <c r="Y11" s="196" t="n">
        <f aca="false">IF(Y5&lt;TERM,SPARES,0)</f>
        <v>0</v>
      </c>
      <c r="Z11" s="196" t="n">
        <f aca="false">IF(Z5&lt;TERM,SPARES,0)</f>
        <v>0</v>
      </c>
      <c r="AA11" s="196" t="n">
        <f aca="false">IF(AA5&lt;TERM,SPARES,0)</f>
        <v>0</v>
      </c>
      <c r="AB11" s="196" t="n">
        <f aca="false">IF(AB5&lt;TERM,SPARES,0)</f>
        <v>0</v>
      </c>
      <c r="AC11" s="196" t="n">
        <f aca="false">IF(AC5&lt;TERM,SPARES,0)</f>
        <v>0</v>
      </c>
      <c r="AD11" s="196" t="n">
        <f aca="false">IF(AD5&lt;TERM,SPARES,0)</f>
        <v>0</v>
      </c>
      <c r="AE11" s="196" t="n">
        <f aca="false">IF(AE5&lt;TERM,SPARES,0)</f>
        <v>0</v>
      </c>
      <c r="AF11" s="196" t="n">
        <f aca="false">IF(AF5&lt;TERM,SPARES,0)</f>
        <v>0</v>
      </c>
      <c r="AG11" s="197" t="n">
        <f aca="false">SUM(F11:AA11)</f>
        <v>0</v>
      </c>
    </row>
    <row r="12" customFormat="false" ht="12.75" hidden="false" customHeight="false" outlineLevel="0" collapsed="false">
      <c r="A12" s="29"/>
      <c r="B12" s="30" t="s">
        <v>376</v>
      </c>
      <c r="C12" s="30"/>
      <c r="D12" s="30"/>
      <c r="E12" s="30"/>
      <c r="F12" s="384" t="n">
        <v>0</v>
      </c>
      <c r="G12" s="213" t="n">
        <v>0</v>
      </c>
      <c r="H12" s="213" t="n">
        <v>0</v>
      </c>
      <c r="I12" s="213" t="n">
        <v>0</v>
      </c>
      <c r="J12" s="213" t="n">
        <v>0</v>
      </c>
      <c r="K12" s="213" t="n">
        <v>0</v>
      </c>
      <c r="L12" s="213" t="n">
        <v>0</v>
      </c>
      <c r="M12" s="213" t="n">
        <v>0</v>
      </c>
      <c r="N12" s="213" t="n">
        <v>0</v>
      </c>
      <c r="O12" s="213" t="n">
        <v>0</v>
      </c>
      <c r="P12" s="213" t="n">
        <v>0</v>
      </c>
      <c r="Q12" s="213" t="n">
        <v>0</v>
      </c>
      <c r="R12" s="213" t="n">
        <v>0</v>
      </c>
      <c r="S12" s="213" t="n">
        <v>0</v>
      </c>
      <c r="T12" s="213" t="n">
        <v>0</v>
      </c>
      <c r="U12" s="213" t="n">
        <v>0</v>
      </c>
      <c r="V12" s="213" t="n">
        <v>0</v>
      </c>
      <c r="W12" s="213" t="n">
        <v>0</v>
      </c>
      <c r="X12" s="213" t="n">
        <v>0</v>
      </c>
      <c r="Y12" s="213" t="n">
        <v>0</v>
      </c>
      <c r="Z12" s="213" t="n">
        <v>0</v>
      </c>
      <c r="AA12" s="213" t="n">
        <v>0</v>
      </c>
      <c r="AB12" s="213" t="n">
        <v>0</v>
      </c>
      <c r="AC12" s="213" t="n">
        <v>0</v>
      </c>
      <c r="AD12" s="213" t="n">
        <v>0</v>
      </c>
      <c r="AE12" s="213" t="n">
        <v>0</v>
      </c>
      <c r="AF12" s="213" t="n">
        <v>0</v>
      </c>
      <c r="AG12" s="197" t="n">
        <f aca="false">SUM(F12:AA12)</f>
        <v>0</v>
      </c>
    </row>
    <row r="13" customFormat="false" ht="12.75" hidden="false" customHeight="false" outlineLevel="0" collapsed="false">
      <c r="A13" s="29"/>
      <c r="B13" s="30" t="s">
        <v>377</v>
      </c>
      <c r="C13" s="30"/>
      <c r="D13" s="30"/>
      <c r="E13" s="30"/>
      <c r="F13" s="304"/>
      <c r="G13" s="196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7" t="s">
        <v>1</v>
      </c>
    </row>
    <row r="14" customFormat="false" ht="12.75" hidden="false" customHeight="false" outlineLevel="0" collapsed="false">
      <c r="A14" s="29"/>
      <c r="B14" s="30"/>
      <c r="C14" s="30" t="s">
        <v>257</v>
      </c>
      <c r="D14" s="30"/>
      <c r="E14" s="30"/>
      <c r="F14" s="304" t="n">
        <v>0</v>
      </c>
      <c r="G14" s="196" t="n">
        <f aca="false">$F$14+DEPR!$F$33</f>
        <v>13000</v>
      </c>
      <c r="H14" s="196" t="n">
        <f aca="false">$F$14+DEPR!$F$33</f>
        <v>13000</v>
      </c>
      <c r="I14" s="196" t="n">
        <f aca="false">$F$14+DEPR!$F$33</f>
        <v>13000</v>
      </c>
      <c r="J14" s="196" t="n">
        <f aca="false">$F$14+DEPR!$F$33</f>
        <v>13000</v>
      </c>
      <c r="K14" s="196" t="n">
        <f aca="false">$F$14+DEPR!$F$33</f>
        <v>13000</v>
      </c>
      <c r="L14" s="196" t="n">
        <f aca="false">$F$14+DEPR!$F$33</f>
        <v>13000</v>
      </c>
      <c r="M14" s="196" t="n">
        <f aca="false">$F$14+DEPR!$F$33</f>
        <v>13000</v>
      </c>
      <c r="N14" s="196" t="n">
        <f aca="false">$F$14+DEPR!$F$33</f>
        <v>13000</v>
      </c>
      <c r="O14" s="196" t="n">
        <f aca="false">$F$14+DEPR!$F$33</f>
        <v>13000</v>
      </c>
      <c r="P14" s="196" t="n">
        <f aca="false">$F$14+DEPR!$F$33</f>
        <v>13000</v>
      </c>
      <c r="Q14" s="196" t="n">
        <f aca="false">$F$14+DEPR!$F$33</f>
        <v>13000</v>
      </c>
      <c r="R14" s="196" t="n">
        <f aca="false">$F$14+DEPR!$F$33</f>
        <v>13000</v>
      </c>
      <c r="S14" s="196" t="n">
        <f aca="false">$F$14+DEPR!$F$33</f>
        <v>13000</v>
      </c>
      <c r="T14" s="196" t="n">
        <f aca="false">$F$14+DEPR!$F$33</f>
        <v>13000</v>
      </c>
      <c r="U14" s="196" t="n">
        <f aca="false">$F$14+DEPR!$F$33</f>
        <v>13000</v>
      </c>
      <c r="V14" s="196" t="n">
        <f aca="false">$F$14+DEPR!$F$33</f>
        <v>13000</v>
      </c>
      <c r="W14" s="196" t="n">
        <f aca="false">$F$14+DEPR!$F$33</f>
        <v>13000</v>
      </c>
      <c r="X14" s="196" t="n">
        <f aca="false">$F$14+DEPR!$F$33</f>
        <v>13000</v>
      </c>
      <c r="Y14" s="196" t="n">
        <f aca="false">$F$14+DEPR!$F$33</f>
        <v>13000</v>
      </c>
      <c r="Z14" s="196" t="n">
        <f aca="false">$F$14+DEPR!$F$33</f>
        <v>13000</v>
      </c>
      <c r="AA14" s="196" t="n">
        <f aca="false">$F$14+DEPR!$F$33</f>
        <v>13000</v>
      </c>
      <c r="AB14" s="196" t="n">
        <f aca="false">$F$14+DEPR!$F$33</f>
        <v>13000</v>
      </c>
      <c r="AC14" s="196" t="n">
        <f aca="false">$F$14+DEPR!$F$33</f>
        <v>13000</v>
      </c>
      <c r="AD14" s="196" t="n">
        <f aca="false">$F$14+DEPR!$F$33</f>
        <v>13000</v>
      </c>
      <c r="AE14" s="196" t="n">
        <f aca="false">$F$14+DEPR!$F$33</f>
        <v>13000</v>
      </c>
      <c r="AF14" s="196" t="n">
        <f aca="false">$F$14+DEPR!$F$33</f>
        <v>13000</v>
      </c>
      <c r="AG14" s="197" t="n">
        <f aca="false">SUM(F14:AA14)</f>
        <v>273000</v>
      </c>
    </row>
    <row r="15" customFormat="false" ht="12.75" hidden="false" customHeight="false" outlineLevel="0" collapsed="false">
      <c r="A15" s="29"/>
      <c r="B15" s="30"/>
      <c r="C15" s="30" t="s">
        <v>378</v>
      </c>
      <c r="D15" s="30"/>
      <c r="E15" s="30"/>
      <c r="F15" s="385" t="n">
        <v>0</v>
      </c>
      <c r="G15" s="203" t="n">
        <f aca="false">$F$15+DEPR!F30</f>
        <v>456.140350877193</v>
      </c>
      <c r="H15" s="203" t="n">
        <f aca="false">$F$15+DEPR!G30</f>
        <v>912.280701754386</v>
      </c>
      <c r="I15" s="203" t="n">
        <f aca="false">$F$15+DEPR!H30</f>
        <v>1368.42105263158</v>
      </c>
      <c r="J15" s="203" t="n">
        <f aca="false">$F$15+DEPR!I30</f>
        <v>1824.56140350877</v>
      </c>
      <c r="K15" s="203" t="n">
        <f aca="false">$F$15+DEPR!J30</f>
        <v>2280.70175438596</v>
      </c>
      <c r="L15" s="203" t="n">
        <f aca="false">$F$15+DEPR!K30</f>
        <v>2736.84210526316</v>
      </c>
      <c r="M15" s="203" t="n">
        <f aca="false">$F$15+DEPR!L30</f>
        <v>3192.98245614035</v>
      </c>
      <c r="N15" s="203" t="n">
        <f aca="false">$F$15+DEPR!M30</f>
        <v>3649.12280701754</v>
      </c>
      <c r="O15" s="203" t="n">
        <f aca="false">$F$15+DEPR!N30</f>
        <v>4105.26315789474</v>
      </c>
      <c r="P15" s="203" t="n">
        <f aca="false">$F$15+DEPR!O30</f>
        <v>4561.40350877193</v>
      </c>
      <c r="Q15" s="203" t="n">
        <f aca="false">$F$15+DEPR!P30</f>
        <v>5017.54385964912</v>
      </c>
      <c r="R15" s="203" t="n">
        <f aca="false">$F$15+DEPR!Q30</f>
        <v>5473.68421052631</v>
      </c>
      <c r="S15" s="203" t="n">
        <f aca="false">$F$15+DEPR!R30</f>
        <v>5929.82456140351</v>
      </c>
      <c r="T15" s="203" t="n">
        <f aca="false">$F$15+DEPR!S30</f>
        <v>6385.9649122807</v>
      </c>
      <c r="U15" s="203" t="n">
        <f aca="false">$F$15+DEPR!T30</f>
        <v>6842.10526315789</v>
      </c>
      <c r="V15" s="203" t="n">
        <f aca="false">$F$15+DEPR!U30</f>
        <v>7298.24561403509</v>
      </c>
      <c r="W15" s="203" t="n">
        <f aca="false">$F$15+DEPR!V30</f>
        <v>7754.38596491228</v>
      </c>
      <c r="X15" s="203" t="n">
        <f aca="false">$F$15+DEPR!W30</f>
        <v>8210.52631578947</v>
      </c>
      <c r="Y15" s="203" t="n">
        <f aca="false">$F$15+DEPR!X30</f>
        <v>8666.66666666666</v>
      </c>
      <c r="Z15" s="203" t="n">
        <f aca="false">$F$15+DEPR!Y30</f>
        <v>9122.80701754386</v>
      </c>
      <c r="AA15" s="203" t="n">
        <f aca="false">$F$15+DEPR!Z30</f>
        <v>9578.94736842105</v>
      </c>
      <c r="AB15" s="203" t="n">
        <f aca="false">$F$15+DEPR!AA30</f>
        <v>10035.0877192982</v>
      </c>
      <c r="AC15" s="203" t="n">
        <f aca="false">$F$15+DEPR!AB30</f>
        <v>10491.2280701754</v>
      </c>
      <c r="AD15" s="203" t="n">
        <f aca="false">$F$15+DEPR!AC30</f>
        <v>10947.3684210526</v>
      </c>
      <c r="AE15" s="203" t="n">
        <f aca="false">$F$15+DEPR!AD30</f>
        <v>11403.5087719298</v>
      </c>
      <c r="AF15" s="203" t="n">
        <f aca="false">$F$15+DEPR!AE30</f>
        <v>11859.649122807</v>
      </c>
      <c r="AG15" s="197" t="n">
        <f aca="false">SUM(F15:AA15)</f>
        <v>105368.421052632</v>
      </c>
    </row>
    <row r="16" customFormat="false" ht="12.75" hidden="false" customHeight="false" outlineLevel="0" collapsed="false">
      <c r="A16" s="29"/>
      <c r="B16" s="30"/>
      <c r="C16" s="30" t="s">
        <v>379</v>
      </c>
      <c r="D16" s="30"/>
      <c r="E16" s="30"/>
      <c r="F16" s="304" t="n">
        <v>0</v>
      </c>
      <c r="G16" s="196" t="n">
        <f aca="false">$F$16+G14-G15</f>
        <v>12543.8596491228</v>
      </c>
      <c r="H16" s="196" t="n">
        <f aca="false">$F$16+H14-H15</f>
        <v>12087.7192982456</v>
      </c>
      <c r="I16" s="196" t="n">
        <f aca="false">$F$16+I14-I15</f>
        <v>11631.5789473684</v>
      </c>
      <c r="J16" s="196" t="n">
        <f aca="false">$F$16+J14-J15</f>
        <v>11175.4385964912</v>
      </c>
      <c r="K16" s="196" t="n">
        <f aca="false">$F$16+K14-K15</f>
        <v>10719.298245614</v>
      </c>
      <c r="L16" s="196" t="n">
        <f aca="false">$F$16+L14-L15</f>
        <v>10263.1578947368</v>
      </c>
      <c r="M16" s="196" t="n">
        <f aca="false">$F$16+M14-M15</f>
        <v>9807.01754385965</v>
      </c>
      <c r="N16" s="196" t="n">
        <f aca="false">$F$16+N14-N15</f>
        <v>9350.87719298246</v>
      </c>
      <c r="O16" s="196" t="n">
        <f aca="false">$F$16+O14-O15</f>
        <v>8894.73684210526</v>
      </c>
      <c r="P16" s="196" t="n">
        <f aca="false">$F$16+P14-P15</f>
        <v>8438.59649122807</v>
      </c>
      <c r="Q16" s="196" t="n">
        <f aca="false">$F$16+Q14-Q15</f>
        <v>7982.45614035088</v>
      </c>
      <c r="R16" s="196" t="n">
        <f aca="false">$F$16+R14-R15</f>
        <v>7526.31578947369</v>
      </c>
      <c r="S16" s="196" t="n">
        <f aca="false">$F$16+S14-S15</f>
        <v>7070.17543859649</v>
      </c>
      <c r="T16" s="196" t="n">
        <f aca="false">$F$16+T14-T15</f>
        <v>6614.0350877193</v>
      </c>
      <c r="U16" s="196" t="n">
        <f aca="false">$F$16+U14-U15</f>
        <v>6157.89473684211</v>
      </c>
      <c r="V16" s="196" t="n">
        <f aca="false">$F$16+V14-V15</f>
        <v>5701.75438596492</v>
      </c>
      <c r="W16" s="196" t="n">
        <f aca="false">$F$16+W14-W15</f>
        <v>5245.61403508772</v>
      </c>
      <c r="X16" s="196" t="n">
        <f aca="false">$F$16+X14-X15</f>
        <v>4789.47368421053</v>
      </c>
      <c r="Y16" s="196" t="n">
        <f aca="false">$F$16+Y14-Y15</f>
        <v>4333.33333333334</v>
      </c>
      <c r="Z16" s="196" t="n">
        <f aca="false">$F$16+Z14-Z15</f>
        <v>3877.19298245614</v>
      </c>
      <c r="AA16" s="196" t="n">
        <f aca="false">$F$16+AA14-AA15</f>
        <v>3421.05263157895</v>
      </c>
      <c r="AB16" s="196" t="n">
        <f aca="false">$F$16+AB14-AB15</f>
        <v>2964.91228070176</v>
      </c>
      <c r="AC16" s="196" t="n">
        <f aca="false">$F$16+AC14-AC15</f>
        <v>2508.77192982456</v>
      </c>
      <c r="AD16" s="196" t="n">
        <f aca="false">$F$16+AD14-AD15</f>
        <v>2052.63157894737</v>
      </c>
      <c r="AE16" s="196" t="n">
        <f aca="false">$F$16+AE14-AE15</f>
        <v>1596.49122807018</v>
      </c>
      <c r="AF16" s="196" t="n">
        <f aca="false">$F$16+AF14-AF15</f>
        <v>1140.35087719299</v>
      </c>
      <c r="AG16" s="197" t="n">
        <f aca="false">SUM(F16:AA16)</f>
        <v>167631.578947368</v>
      </c>
    </row>
    <row r="17" customFormat="false" ht="12.75" hidden="false" customHeight="false" outlineLevel="0" collapsed="false">
      <c r="A17" s="29"/>
      <c r="B17" s="30" t="s">
        <v>380</v>
      </c>
      <c r="C17" s="30"/>
      <c r="D17" s="30"/>
      <c r="E17" s="30"/>
      <c r="F17" s="384" t="n">
        <v>0</v>
      </c>
      <c r="G17" s="213" t="n">
        <v>0</v>
      </c>
      <c r="H17" s="213" t="n">
        <v>0</v>
      </c>
      <c r="I17" s="213" t="n">
        <v>0</v>
      </c>
      <c r="J17" s="213" t="n">
        <v>0</v>
      </c>
      <c r="K17" s="213" t="n">
        <v>0</v>
      </c>
      <c r="L17" s="213" t="n">
        <v>0</v>
      </c>
      <c r="M17" s="213" t="n">
        <v>0</v>
      </c>
      <c r="N17" s="213" t="n">
        <v>0</v>
      </c>
      <c r="O17" s="213" t="n">
        <v>0</v>
      </c>
      <c r="P17" s="213" t="n">
        <v>0</v>
      </c>
      <c r="Q17" s="213" t="n">
        <v>0</v>
      </c>
      <c r="R17" s="213" t="n">
        <v>0</v>
      </c>
      <c r="S17" s="213" t="n">
        <v>0</v>
      </c>
      <c r="T17" s="213" t="n">
        <v>0</v>
      </c>
      <c r="U17" s="213" t="n">
        <v>0</v>
      </c>
      <c r="V17" s="213" t="n">
        <v>0</v>
      </c>
      <c r="W17" s="213" t="n">
        <v>0</v>
      </c>
      <c r="X17" s="213" t="n">
        <v>0</v>
      </c>
      <c r="Y17" s="213" t="n">
        <v>0</v>
      </c>
      <c r="Z17" s="213" t="n">
        <v>0</v>
      </c>
      <c r="AA17" s="213" t="n">
        <v>0</v>
      </c>
      <c r="AB17" s="213" t="n">
        <v>0</v>
      </c>
      <c r="AC17" s="213" t="n">
        <v>0</v>
      </c>
      <c r="AD17" s="213" t="n">
        <v>0</v>
      </c>
      <c r="AE17" s="213" t="n">
        <v>0</v>
      </c>
      <c r="AF17" s="213" t="n">
        <v>0</v>
      </c>
      <c r="AG17" s="197" t="n">
        <f aca="false">SUM(F17:AA17)</f>
        <v>0</v>
      </c>
    </row>
    <row r="18" customFormat="false" ht="12.75" hidden="false" customHeight="false" outlineLevel="0" collapsed="false">
      <c r="A18" s="29"/>
      <c r="B18" s="30"/>
      <c r="C18" s="30"/>
      <c r="D18" s="30"/>
      <c r="E18" s="30"/>
      <c r="F18" s="304"/>
      <c r="G18" s="196" t="s">
        <v>1</v>
      </c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6"/>
      <c r="Y18" s="196"/>
      <c r="Z18" s="196"/>
      <c r="AA18" s="196"/>
      <c r="AB18" s="196"/>
      <c r="AC18" s="196"/>
      <c r="AD18" s="196"/>
      <c r="AE18" s="196"/>
      <c r="AF18" s="196"/>
      <c r="AG18" s="197" t="n">
        <f aca="false">SUM(F18:AA18)</f>
        <v>0</v>
      </c>
    </row>
    <row r="19" customFormat="false" ht="12.75" hidden="false" customHeight="false" outlineLevel="0" collapsed="false">
      <c r="A19" s="29" t="s">
        <v>381</v>
      </c>
      <c r="B19" s="30"/>
      <c r="C19" s="30"/>
      <c r="D19" s="30"/>
      <c r="E19" s="30"/>
      <c r="F19" s="386" t="n">
        <v>0</v>
      </c>
      <c r="G19" s="234" t="n">
        <f aca="false">SUM(G8:G12)+G16+SUM(G17)</f>
        <v>12543.8596491228</v>
      </c>
      <c r="H19" s="234" t="n">
        <f aca="false">SUM(H8:H12)+H16+SUM(H17)</f>
        <v>12087.7192982456</v>
      </c>
      <c r="I19" s="234" t="n">
        <f aca="false">SUM(I8:I12)+I16+SUM(I17)</f>
        <v>11631.5789473684</v>
      </c>
      <c r="J19" s="234" t="n">
        <f aca="false">SUM(J8:J12)+J16+SUM(J17)</f>
        <v>11175.4385964912</v>
      </c>
      <c r="K19" s="234" t="n">
        <f aca="false">SUM(K8:K12)+K16+SUM(K17)</f>
        <v>10719.298245614</v>
      </c>
      <c r="L19" s="234" t="n">
        <f aca="false">SUM(L8:L12)+L16+SUM(L17)</f>
        <v>10263.1578947368</v>
      </c>
      <c r="M19" s="234" t="n">
        <f aca="false">SUM(M8:M12)+M16+SUM(M17)</f>
        <v>9807.01754385965</v>
      </c>
      <c r="N19" s="234" t="n">
        <f aca="false">SUM(N8:N12)+N16+SUM(N17)</f>
        <v>9350.87719298246</v>
      </c>
      <c r="O19" s="234" t="n">
        <f aca="false">SUM(O8:O12)+O16+SUM(O17)</f>
        <v>8894.73684210526</v>
      </c>
      <c r="P19" s="234" t="n">
        <f aca="false">SUM(P8:P12)+P16+SUM(P17)</f>
        <v>8438.59649122807</v>
      </c>
      <c r="Q19" s="234" t="n">
        <f aca="false">SUM(Q8:Q12)+Q16+SUM(Q17)</f>
        <v>7982.45614035088</v>
      </c>
      <c r="R19" s="234" t="n">
        <f aca="false">SUM(R8:R12)+R16+SUM(R17)</f>
        <v>7526.31578947369</v>
      </c>
      <c r="S19" s="234" t="n">
        <f aca="false">SUM(S8:S12)+S16+SUM(S17)</f>
        <v>7070.17543859649</v>
      </c>
      <c r="T19" s="234" t="n">
        <f aca="false">SUM(T8:T12)+T16+SUM(T17)</f>
        <v>6614.0350877193</v>
      </c>
      <c r="U19" s="234" t="n">
        <f aca="false">SUM(U8:U12)+U16+SUM(U17)</f>
        <v>6157.89473684211</v>
      </c>
      <c r="V19" s="234" t="n">
        <f aca="false">SUM(V8:V12)+V16+SUM(V17)</f>
        <v>5701.75438596492</v>
      </c>
      <c r="W19" s="234" t="n">
        <f aca="false">SUM(W8:W12)+W16+SUM(W17)</f>
        <v>5245.61403508772</v>
      </c>
      <c r="X19" s="234" t="n">
        <f aca="false">SUM(X8:X12)+X16+SUM(X17)</f>
        <v>4789.47368421053</v>
      </c>
      <c r="Y19" s="234" t="n">
        <f aca="false">SUM(Y8:Y12)+Y16+SUM(Y17)</f>
        <v>4333.33333333334</v>
      </c>
      <c r="Z19" s="234" t="n">
        <f aca="false">SUM(Z8:Z12)+Z16+SUM(Z17)</f>
        <v>3877.19298245614</v>
      </c>
      <c r="AA19" s="234" t="n">
        <f aca="false">SUM(AA8:AA12)+AA16+SUM(AA17)</f>
        <v>3421.05263157895</v>
      </c>
      <c r="AB19" s="234" t="n">
        <f aca="false">SUM(AB8:AB12)+AB16+SUM(AB17)</f>
        <v>2964.91228070176</v>
      </c>
      <c r="AC19" s="234" t="n">
        <f aca="false">SUM(AC8:AC12)+AC16+SUM(AC17)</f>
        <v>2508.77192982456</v>
      </c>
      <c r="AD19" s="234" t="n">
        <f aca="false">SUM(AD8:AD12)+AD16+SUM(AD17)</f>
        <v>2052.63157894737</v>
      </c>
      <c r="AE19" s="234" t="n">
        <f aca="false">SUM(AE8:AE12)+AE16+SUM(AE17)</f>
        <v>1596.49122807018</v>
      </c>
      <c r="AF19" s="234" t="n">
        <f aca="false">SUM(AF8:AF12)+AF16+SUM(AF17)</f>
        <v>1140.35087719299</v>
      </c>
      <c r="AG19" s="197" t="n">
        <f aca="false">SUM(F19:AA19)</f>
        <v>167631.578947368</v>
      </c>
    </row>
    <row r="20" customFormat="false" ht="12.75" hidden="false" customHeight="false" outlineLevel="0" collapsed="false">
      <c r="A20" s="29"/>
      <c r="B20" s="30"/>
      <c r="C20" s="30"/>
      <c r="D20" s="30"/>
      <c r="E20" s="30"/>
      <c r="F20" s="304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  <c r="U20" s="196"/>
      <c r="V20" s="196"/>
      <c r="W20" s="196"/>
      <c r="X20" s="196"/>
      <c r="Y20" s="196"/>
      <c r="Z20" s="196"/>
      <c r="AA20" s="196"/>
      <c r="AB20" s="196"/>
      <c r="AC20" s="196"/>
      <c r="AD20" s="196"/>
      <c r="AE20" s="196"/>
      <c r="AF20" s="196"/>
      <c r="AG20" s="197" t="s">
        <v>1</v>
      </c>
    </row>
    <row r="21" customFormat="false" ht="12.75" hidden="false" customHeight="false" outlineLevel="0" collapsed="false">
      <c r="A21" s="29" t="s">
        <v>382</v>
      </c>
      <c r="B21" s="30"/>
      <c r="C21" s="30"/>
      <c r="D21" s="30"/>
      <c r="E21" s="30"/>
      <c r="F21" s="304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6"/>
      <c r="AA21" s="196"/>
      <c r="AB21" s="196"/>
      <c r="AC21" s="196"/>
      <c r="AD21" s="196"/>
      <c r="AE21" s="196"/>
      <c r="AF21" s="196"/>
      <c r="AG21" s="197" t="s">
        <v>1</v>
      </c>
    </row>
    <row r="22" customFormat="false" ht="12.75" hidden="false" customHeight="false" outlineLevel="0" collapsed="false">
      <c r="A22" s="29"/>
      <c r="B22" s="30" t="s">
        <v>383</v>
      </c>
      <c r="C22" s="30"/>
      <c r="D22" s="30"/>
      <c r="E22" s="30"/>
      <c r="F22" s="304" t="n">
        <v>0</v>
      </c>
      <c r="G22" s="196" t="n">
        <v>0</v>
      </c>
      <c r="H22" s="196" t="n">
        <v>0</v>
      </c>
      <c r="I22" s="196" t="n">
        <v>0</v>
      </c>
      <c r="J22" s="196" t="n">
        <v>0</v>
      </c>
      <c r="K22" s="196" t="n">
        <v>0</v>
      </c>
      <c r="L22" s="196" t="n">
        <v>0</v>
      </c>
      <c r="M22" s="196" t="n">
        <v>0</v>
      </c>
      <c r="N22" s="196" t="n">
        <v>0</v>
      </c>
      <c r="O22" s="196" t="n">
        <v>0</v>
      </c>
      <c r="P22" s="196" t="n">
        <v>0</v>
      </c>
      <c r="Q22" s="196" t="n">
        <v>0</v>
      </c>
      <c r="R22" s="196" t="n">
        <v>0</v>
      </c>
      <c r="S22" s="196" t="n">
        <v>0</v>
      </c>
      <c r="T22" s="196" t="n">
        <v>0</v>
      </c>
      <c r="U22" s="196" t="n">
        <v>0</v>
      </c>
      <c r="V22" s="196" t="n">
        <v>0</v>
      </c>
      <c r="W22" s="196" t="n">
        <v>0</v>
      </c>
      <c r="X22" s="196" t="n">
        <v>0</v>
      </c>
      <c r="Y22" s="196" t="n">
        <v>0</v>
      </c>
      <c r="Z22" s="196" t="n">
        <v>0</v>
      </c>
      <c r="AA22" s="196" t="n">
        <v>0</v>
      </c>
      <c r="AB22" s="196" t="n">
        <v>0</v>
      </c>
      <c r="AC22" s="196" t="n">
        <v>0</v>
      </c>
      <c r="AD22" s="196" t="n">
        <v>0</v>
      </c>
      <c r="AE22" s="196" t="n">
        <v>0</v>
      </c>
      <c r="AF22" s="196" t="n">
        <v>0</v>
      </c>
      <c r="AG22" s="197" t="n">
        <f aca="false">SUM(F22:AA22)</f>
        <v>0</v>
      </c>
    </row>
    <row r="23" customFormat="false" ht="12.75" hidden="false" customHeight="false" outlineLevel="0" collapsed="false">
      <c r="A23" s="29"/>
      <c r="B23" s="30" t="s">
        <v>384</v>
      </c>
      <c r="C23" s="30"/>
      <c r="D23" s="30"/>
      <c r="E23" s="30"/>
      <c r="F23" s="304" t="n">
        <v>0</v>
      </c>
      <c r="G23" s="196" t="n">
        <v>0</v>
      </c>
      <c r="H23" s="196" t="n">
        <v>0</v>
      </c>
      <c r="I23" s="196" t="n">
        <v>0</v>
      </c>
      <c r="J23" s="196" t="n">
        <v>0</v>
      </c>
      <c r="K23" s="196" t="n">
        <v>0</v>
      </c>
      <c r="L23" s="196" t="n">
        <v>0</v>
      </c>
      <c r="M23" s="196" t="n">
        <v>0</v>
      </c>
      <c r="N23" s="196" t="n">
        <v>0</v>
      </c>
      <c r="O23" s="196" t="n">
        <v>0</v>
      </c>
      <c r="P23" s="196" t="n">
        <v>0</v>
      </c>
      <c r="Q23" s="196" t="n">
        <v>0</v>
      </c>
      <c r="R23" s="196" t="n">
        <v>0</v>
      </c>
      <c r="S23" s="196" t="n">
        <v>0</v>
      </c>
      <c r="T23" s="196" t="n">
        <v>0</v>
      </c>
      <c r="U23" s="196" t="n">
        <v>0</v>
      </c>
      <c r="V23" s="196" t="n">
        <v>0</v>
      </c>
      <c r="W23" s="196" t="n">
        <v>0</v>
      </c>
      <c r="X23" s="196" t="n">
        <v>0</v>
      </c>
      <c r="Y23" s="196" t="n">
        <v>0</v>
      </c>
      <c r="Z23" s="196" t="n">
        <v>0</v>
      </c>
      <c r="AA23" s="196" t="n">
        <v>0</v>
      </c>
      <c r="AB23" s="196" t="n">
        <v>0</v>
      </c>
      <c r="AC23" s="196" t="n">
        <v>0</v>
      </c>
      <c r="AD23" s="196" t="n">
        <v>0</v>
      </c>
      <c r="AE23" s="196" t="n">
        <v>0</v>
      </c>
      <c r="AF23" s="196" t="n">
        <v>0</v>
      </c>
      <c r="AG23" s="197" t="n">
        <f aca="false">SUM(F23:AA23)</f>
        <v>0</v>
      </c>
    </row>
    <row r="24" customFormat="false" ht="12.75" hidden="false" customHeight="false" outlineLevel="0" collapsed="false">
      <c r="A24" s="29"/>
      <c r="B24" s="30" t="s">
        <v>385</v>
      </c>
      <c r="C24" s="30"/>
      <c r="D24" s="30"/>
      <c r="E24" s="30"/>
      <c r="F24" s="304" t="n">
        <v>0</v>
      </c>
      <c r="G24" s="196" t="n">
        <v>0</v>
      </c>
      <c r="H24" s="196" t="n">
        <v>0</v>
      </c>
      <c r="I24" s="196" t="n">
        <v>0</v>
      </c>
      <c r="J24" s="196" t="n">
        <v>0</v>
      </c>
      <c r="K24" s="196" t="n">
        <v>0</v>
      </c>
      <c r="L24" s="196" t="n">
        <v>0</v>
      </c>
      <c r="M24" s="196" t="n">
        <v>0</v>
      </c>
      <c r="N24" s="196" t="n">
        <v>0</v>
      </c>
      <c r="O24" s="196" t="n">
        <v>0</v>
      </c>
      <c r="P24" s="196" t="n">
        <v>0</v>
      </c>
      <c r="Q24" s="196" t="n">
        <v>0</v>
      </c>
      <c r="R24" s="196" t="n">
        <v>0</v>
      </c>
      <c r="S24" s="196" t="n">
        <v>0</v>
      </c>
      <c r="T24" s="196" t="n">
        <v>0</v>
      </c>
      <c r="U24" s="196" t="n">
        <v>0</v>
      </c>
      <c r="V24" s="196" t="n">
        <v>0</v>
      </c>
      <c r="W24" s="196" t="n">
        <v>0</v>
      </c>
      <c r="X24" s="196" t="n">
        <v>0</v>
      </c>
      <c r="Y24" s="196" t="n">
        <v>0</v>
      </c>
      <c r="Z24" s="196" t="n">
        <v>0</v>
      </c>
      <c r="AA24" s="196" t="n">
        <v>0</v>
      </c>
      <c r="AB24" s="196" t="n">
        <v>0</v>
      </c>
      <c r="AC24" s="196" t="n">
        <v>0</v>
      </c>
      <c r="AD24" s="196" t="n">
        <v>0</v>
      </c>
      <c r="AE24" s="196" t="n">
        <v>0</v>
      </c>
      <c r="AF24" s="196" t="n">
        <v>0</v>
      </c>
      <c r="AG24" s="197" t="n">
        <f aca="false">SUM(F24:AA24)</f>
        <v>0</v>
      </c>
    </row>
    <row r="25" customFormat="false" ht="12.75" hidden="false" customHeight="false" outlineLevel="0" collapsed="false">
      <c r="A25" s="29"/>
      <c r="B25" s="30" t="s">
        <v>386</v>
      </c>
      <c r="C25" s="30"/>
      <c r="D25" s="30"/>
      <c r="E25" s="30"/>
      <c r="F25" s="304" t="n">
        <v>0</v>
      </c>
      <c r="G25" s="196" t="n">
        <f aca="false">G71+G72+$F$25</f>
        <v>0</v>
      </c>
      <c r="H25" s="196" t="n">
        <f aca="false">H71+H72+$F$25+G25</f>
        <v>0</v>
      </c>
      <c r="I25" s="196" t="n">
        <f aca="false">I71+I72+$F$25+H25</f>
        <v>0</v>
      </c>
      <c r="J25" s="196" t="n">
        <f aca="false">J71+J72+$F$25+I25</f>
        <v>0</v>
      </c>
      <c r="K25" s="196" t="n">
        <f aca="false">K71+K72+$F$25+J25</f>
        <v>0</v>
      </c>
      <c r="L25" s="196" t="n">
        <f aca="false">L71+L72+$F$25+K25</f>
        <v>0</v>
      </c>
      <c r="M25" s="196" t="n">
        <f aca="false">M71+M72+$F$25+L25</f>
        <v>0</v>
      </c>
      <c r="N25" s="196" t="n">
        <f aca="false">N71+N72+$F$25+M25</f>
        <v>0</v>
      </c>
      <c r="O25" s="196" t="n">
        <f aca="false">O71+O72+$F$25+N25</f>
        <v>0</v>
      </c>
      <c r="P25" s="196" t="n">
        <f aca="false">P71+P72+$F$25+O25</f>
        <v>0</v>
      </c>
      <c r="Q25" s="196" t="n">
        <f aca="false">Q71+Q72+$F$25+P25</f>
        <v>0</v>
      </c>
      <c r="R25" s="196" t="n">
        <f aca="false">R71+R72+$F$25+Q25</f>
        <v>0</v>
      </c>
      <c r="S25" s="196" t="n">
        <f aca="false">S71+S72+$F$25+R25</f>
        <v>0</v>
      </c>
      <c r="T25" s="196" t="n">
        <f aca="false">T71+T72+$F$25+S25</f>
        <v>0</v>
      </c>
      <c r="U25" s="196" t="n">
        <f aca="false">U71+U72+$F$25+T25</f>
        <v>0</v>
      </c>
      <c r="V25" s="196" t="n">
        <f aca="false">V71+V72+$F$25+U25</f>
        <v>0</v>
      </c>
      <c r="W25" s="196" t="n">
        <f aca="false">W71+W72+$F$25+V25</f>
        <v>0</v>
      </c>
      <c r="X25" s="196" t="n">
        <f aca="false">X71+X72+$F$25+W25</f>
        <v>0</v>
      </c>
      <c r="Y25" s="196" t="n">
        <f aca="false">Y71+Y72+$F$25+X25</f>
        <v>0</v>
      </c>
      <c r="Z25" s="196" t="n">
        <f aca="false">Z71+Z72+$F$25+Y25</f>
        <v>0</v>
      </c>
      <c r="AA25" s="196" t="n">
        <f aca="false">AA71+AA72+$F$25+Z25</f>
        <v>0</v>
      </c>
      <c r="AB25" s="196" t="n">
        <f aca="false">AB71+AB72+$F$25+AA25</f>
        <v>0</v>
      </c>
      <c r="AC25" s="196" t="n">
        <f aca="false">AC71+AC72+$F$25+AB25</f>
        <v>0</v>
      </c>
      <c r="AD25" s="196" t="n">
        <f aca="false">AD71+AD72+$F$25+AC25</f>
        <v>0</v>
      </c>
      <c r="AE25" s="196" t="n">
        <f aca="false">AE71+AE72+$F$25+AD25</f>
        <v>0</v>
      </c>
      <c r="AF25" s="196" t="n">
        <f aca="false">AF71+AF72+$F$25+AE25</f>
        <v>0</v>
      </c>
      <c r="AG25" s="197" t="n">
        <f aca="false">SUM(F25:AA25)</f>
        <v>0</v>
      </c>
    </row>
    <row r="26" customFormat="false" ht="12.75" hidden="false" customHeight="false" outlineLevel="0" collapsed="false">
      <c r="A26" s="29"/>
      <c r="B26" s="30" t="s">
        <v>387</v>
      </c>
      <c r="C26" s="30"/>
      <c r="D26" s="30"/>
      <c r="E26" s="30"/>
      <c r="F26" s="385" t="n">
        <v>0</v>
      </c>
      <c r="G26" s="203" t="n">
        <v>0</v>
      </c>
      <c r="H26" s="203" t="n">
        <v>0</v>
      </c>
      <c r="I26" s="203" t="n">
        <v>0</v>
      </c>
      <c r="J26" s="203" t="n">
        <v>0</v>
      </c>
      <c r="K26" s="203" t="n">
        <v>0</v>
      </c>
      <c r="L26" s="203" t="n">
        <v>0</v>
      </c>
      <c r="M26" s="203" t="n">
        <v>0</v>
      </c>
      <c r="N26" s="203" t="n">
        <v>0</v>
      </c>
      <c r="O26" s="203" t="n">
        <v>0</v>
      </c>
      <c r="P26" s="203" t="n">
        <v>0</v>
      </c>
      <c r="Q26" s="203" t="n">
        <v>0</v>
      </c>
      <c r="R26" s="203" t="n">
        <v>0</v>
      </c>
      <c r="S26" s="203" t="n">
        <v>0</v>
      </c>
      <c r="T26" s="203" t="n">
        <v>0</v>
      </c>
      <c r="U26" s="203" t="n">
        <v>0</v>
      </c>
      <c r="V26" s="203" t="n">
        <v>0</v>
      </c>
      <c r="W26" s="203" t="n">
        <v>0</v>
      </c>
      <c r="X26" s="203" t="n">
        <v>0</v>
      </c>
      <c r="Y26" s="203" t="n">
        <v>0</v>
      </c>
      <c r="Z26" s="203" t="n">
        <v>0</v>
      </c>
      <c r="AA26" s="203" t="n">
        <v>0</v>
      </c>
      <c r="AB26" s="203" t="n">
        <v>0</v>
      </c>
      <c r="AC26" s="203" t="n">
        <v>0</v>
      </c>
      <c r="AD26" s="203" t="n">
        <v>0</v>
      </c>
      <c r="AE26" s="203" t="n">
        <v>0</v>
      </c>
      <c r="AF26" s="203" t="n">
        <v>0</v>
      </c>
      <c r="AG26" s="197" t="n">
        <f aca="false">SUM(F26:AA26)</f>
        <v>0</v>
      </c>
    </row>
    <row r="27" customFormat="false" ht="12.75" hidden="false" customHeight="false" outlineLevel="0" collapsed="false">
      <c r="A27" s="29"/>
      <c r="B27" s="30"/>
      <c r="C27" s="30" t="s">
        <v>388</v>
      </c>
      <c r="D27" s="30"/>
      <c r="E27" s="30"/>
      <c r="F27" s="304" t="n">
        <v>0</v>
      </c>
      <c r="G27" s="196" t="n">
        <f aca="false">SUM(G22:G26)</f>
        <v>0</v>
      </c>
      <c r="H27" s="196" t="n">
        <f aca="false">SUM(H22:H26)</f>
        <v>0</v>
      </c>
      <c r="I27" s="196" t="n">
        <f aca="false">SUM(I22:I26)</f>
        <v>0</v>
      </c>
      <c r="J27" s="196" t="n">
        <f aca="false">SUM(J22:J26)</f>
        <v>0</v>
      </c>
      <c r="K27" s="196" t="n">
        <f aca="false">SUM(K22:K26)</f>
        <v>0</v>
      </c>
      <c r="L27" s="196" t="n">
        <f aca="false">SUM(L22:L26)</f>
        <v>0</v>
      </c>
      <c r="M27" s="196" t="n">
        <f aca="false">SUM(M22:M26)</f>
        <v>0</v>
      </c>
      <c r="N27" s="196" t="n">
        <f aca="false">SUM(N22:N26)</f>
        <v>0</v>
      </c>
      <c r="O27" s="196" t="n">
        <f aca="false">SUM(O22:O26)</f>
        <v>0</v>
      </c>
      <c r="P27" s="196" t="n">
        <f aca="false">SUM(P22:P26)</f>
        <v>0</v>
      </c>
      <c r="Q27" s="196" t="n">
        <f aca="false">SUM(Q22:Q26)</f>
        <v>0</v>
      </c>
      <c r="R27" s="196" t="n">
        <f aca="false">SUM(R22:R26)</f>
        <v>0</v>
      </c>
      <c r="S27" s="196" t="n">
        <f aca="false">SUM(S22:S26)</f>
        <v>0</v>
      </c>
      <c r="T27" s="196" t="n">
        <f aca="false">SUM(T22:T26)</f>
        <v>0</v>
      </c>
      <c r="U27" s="196" t="n">
        <f aca="false">SUM(U22:U26)</f>
        <v>0</v>
      </c>
      <c r="V27" s="196" t="n">
        <f aca="false">SUM(V22:V26)</f>
        <v>0</v>
      </c>
      <c r="W27" s="196" t="n">
        <f aca="false">SUM(W22:W26)</f>
        <v>0</v>
      </c>
      <c r="X27" s="196" t="n">
        <f aca="false">SUM(X22:X26)</f>
        <v>0</v>
      </c>
      <c r="Y27" s="196" t="n">
        <f aca="false">SUM(Y22:Y26)</f>
        <v>0</v>
      </c>
      <c r="Z27" s="196" t="n">
        <f aca="false">SUM(Z22:Z26)</f>
        <v>0</v>
      </c>
      <c r="AA27" s="196" t="n">
        <f aca="false">SUM(AA22:AA26)</f>
        <v>0</v>
      </c>
      <c r="AB27" s="196" t="n">
        <f aca="false">SUM(AB22:AB26)</f>
        <v>0</v>
      </c>
      <c r="AC27" s="196" t="n">
        <f aca="false">SUM(AC22:AC26)</f>
        <v>0</v>
      </c>
      <c r="AD27" s="196" t="n">
        <f aca="false">SUM(AD22:AD26)</f>
        <v>0</v>
      </c>
      <c r="AE27" s="196" t="n">
        <f aca="false">SUM(AE22:AE26)</f>
        <v>0</v>
      </c>
      <c r="AF27" s="196" t="n">
        <f aca="false">SUM(AF22:AF26)</f>
        <v>0</v>
      </c>
      <c r="AG27" s="197" t="n">
        <f aca="false">SUM(F27:AA27)</f>
        <v>0</v>
      </c>
    </row>
    <row r="28" customFormat="false" ht="12.75" hidden="false" customHeight="false" outlineLevel="0" collapsed="false">
      <c r="A28" s="29"/>
      <c r="B28" s="30"/>
      <c r="C28" s="30"/>
      <c r="D28" s="30"/>
      <c r="E28" s="30"/>
      <c r="F28" s="304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7" t="s">
        <v>1</v>
      </c>
    </row>
    <row r="29" customFormat="false" ht="12.75" hidden="false" customHeight="false" outlineLevel="0" collapsed="false">
      <c r="A29" s="29" t="s">
        <v>389</v>
      </c>
      <c r="B29" s="30"/>
      <c r="C29" s="30"/>
      <c r="D29" s="30"/>
      <c r="E29" s="30"/>
      <c r="F29" s="304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7" t="s">
        <v>1</v>
      </c>
    </row>
    <row r="30" customFormat="false" ht="12.75" hidden="false" customHeight="false" outlineLevel="0" collapsed="false">
      <c r="A30" s="29"/>
      <c r="B30" s="30" t="s">
        <v>390</v>
      </c>
      <c r="C30" s="30"/>
      <c r="D30" s="30"/>
      <c r="E30" s="30"/>
      <c r="F30" s="304" t="n">
        <v>0</v>
      </c>
      <c r="G30" s="196" t="n">
        <f aca="false">F30+G78</f>
        <v>13000</v>
      </c>
      <c r="H30" s="196" t="n">
        <f aca="false">G30+H78</f>
        <v>13000</v>
      </c>
      <c r="I30" s="196" t="n">
        <f aca="false">H30+I78</f>
        <v>13000</v>
      </c>
      <c r="J30" s="196" t="n">
        <f aca="false">I30+J78</f>
        <v>13000</v>
      </c>
      <c r="K30" s="196" t="n">
        <f aca="false">J30+K78</f>
        <v>13000</v>
      </c>
      <c r="L30" s="196" t="n">
        <f aca="false">K30+L78</f>
        <v>13000</v>
      </c>
      <c r="M30" s="196" t="n">
        <f aca="false">L30+M78</f>
        <v>13000</v>
      </c>
      <c r="N30" s="196" t="n">
        <f aca="false">M30+N78</f>
        <v>13000</v>
      </c>
      <c r="O30" s="196" t="n">
        <f aca="false">N30+O78</f>
        <v>13000</v>
      </c>
      <c r="P30" s="196" t="n">
        <f aca="false">O30+P78</f>
        <v>13000</v>
      </c>
      <c r="Q30" s="196" t="n">
        <f aca="false">P30+Q78</f>
        <v>13000</v>
      </c>
      <c r="R30" s="196" t="n">
        <f aca="false">Q30+R78</f>
        <v>13000</v>
      </c>
      <c r="S30" s="196" t="n">
        <f aca="false">R30+S78</f>
        <v>13000</v>
      </c>
      <c r="T30" s="196" t="n">
        <f aca="false">S30+T78</f>
        <v>13000</v>
      </c>
      <c r="U30" s="196" t="n">
        <f aca="false">T30+U78</f>
        <v>13000</v>
      </c>
      <c r="V30" s="196" t="n">
        <f aca="false">U30+V78</f>
        <v>13000</v>
      </c>
      <c r="W30" s="196" t="n">
        <f aca="false">V30+W78</f>
        <v>13000</v>
      </c>
      <c r="X30" s="196" t="n">
        <f aca="false">W30+X78</f>
        <v>13000</v>
      </c>
      <c r="Y30" s="196" t="n">
        <f aca="false">X30+Y78</f>
        <v>13000</v>
      </c>
      <c r="Z30" s="196" t="n">
        <f aca="false">Y30+Z78</f>
        <v>13000</v>
      </c>
      <c r="AA30" s="196" t="n">
        <f aca="false">Z30+AA78</f>
        <v>13000</v>
      </c>
      <c r="AB30" s="196" t="n">
        <f aca="false">AA30+AB78</f>
        <v>13000</v>
      </c>
      <c r="AC30" s="196" t="n">
        <f aca="false">AB30+AC78</f>
        <v>13000</v>
      </c>
      <c r="AD30" s="196" t="n">
        <f aca="false">AC30+AD78</f>
        <v>13000</v>
      </c>
      <c r="AE30" s="196" t="n">
        <f aca="false">AD30+AE78</f>
        <v>13000</v>
      </c>
      <c r="AF30" s="196" t="n">
        <f aca="false">AE30+AF78</f>
        <v>13000</v>
      </c>
      <c r="AG30" s="197" t="n">
        <f aca="false">SUM(F30:AA30)</f>
        <v>273000</v>
      </c>
    </row>
    <row r="31" customFormat="false" ht="12.75" hidden="false" customHeight="false" outlineLevel="0" collapsed="false">
      <c r="A31" s="29"/>
      <c r="B31" s="30" t="s">
        <v>391</v>
      </c>
      <c r="C31" s="30"/>
      <c r="D31" s="30"/>
      <c r="E31" s="30"/>
      <c r="F31" s="304" t="n">
        <v>0</v>
      </c>
      <c r="G31" s="196" t="n">
        <f aca="false">F31+G80</f>
        <v>-7054.1</v>
      </c>
      <c r="H31" s="196" t="n">
        <f aca="false">G31+H80</f>
        <v>-13207.282</v>
      </c>
      <c r="I31" s="196" t="n">
        <f aca="false">H31+I80</f>
        <v>-18459.52764</v>
      </c>
      <c r="J31" s="196" t="e">
        <f aca="false">I31+J80</f>
        <v>#REF!</v>
      </c>
      <c r="K31" s="196" t="e">
        <f aca="false">J31+K80</f>
        <v>#REF!</v>
      </c>
      <c r="L31" s="196" t="e">
        <f aca="false">K31+L80</f>
        <v>#REF!</v>
      </c>
      <c r="M31" s="196" t="e">
        <f aca="false">L31+M80</f>
        <v>#REF!</v>
      </c>
      <c r="N31" s="196" t="e">
        <f aca="false">M31+N80</f>
        <v>#REF!</v>
      </c>
      <c r="O31" s="196" t="e">
        <f aca="false">N31+O80</f>
        <v>#REF!</v>
      </c>
      <c r="P31" s="196" t="e">
        <f aca="false">O31+P80</f>
        <v>#REF!</v>
      </c>
      <c r="Q31" s="196" t="e">
        <f aca="false">P31+Q80</f>
        <v>#REF!</v>
      </c>
      <c r="R31" s="196" t="e">
        <f aca="false">Q31+R80</f>
        <v>#REF!</v>
      </c>
      <c r="S31" s="196" t="e">
        <f aca="false">R31+S80</f>
        <v>#REF!</v>
      </c>
      <c r="T31" s="196" t="e">
        <f aca="false">S31+T80</f>
        <v>#REF!</v>
      </c>
      <c r="U31" s="196" t="e">
        <f aca="false">T31+U80</f>
        <v>#REF!</v>
      </c>
      <c r="V31" s="196" t="e">
        <f aca="false">U31+V80</f>
        <v>#REF!</v>
      </c>
      <c r="W31" s="196" t="e">
        <f aca="false">V31+W80</f>
        <v>#REF!</v>
      </c>
      <c r="X31" s="196" t="e">
        <f aca="false">W31+X80</f>
        <v>#REF!</v>
      </c>
      <c r="Y31" s="196" t="e">
        <f aca="false">X31+Y80</f>
        <v>#REF!</v>
      </c>
      <c r="Z31" s="196" t="e">
        <f aca="false">Y31+Z80</f>
        <v>#REF!</v>
      </c>
      <c r="AA31" s="196" t="e">
        <f aca="false">Z31+AA80</f>
        <v>#REF!</v>
      </c>
      <c r="AB31" s="196" t="e">
        <f aca="false">AA31+AB80</f>
        <v>#REF!</v>
      </c>
      <c r="AC31" s="196" t="e">
        <f aca="false">AB31+AC80</f>
        <v>#REF!</v>
      </c>
      <c r="AD31" s="196" t="e">
        <f aca="false">AC31+AD80</f>
        <v>#REF!</v>
      </c>
      <c r="AE31" s="196" t="e">
        <f aca="false">AD31+AE80</f>
        <v>#REF!</v>
      </c>
      <c r="AF31" s="196" t="e">
        <f aca="false">AE31+AF80</f>
        <v>#REF!</v>
      </c>
      <c r="AG31" s="197" t="e">
        <f aca="false">SUM(F31:AA31)</f>
        <v>#REF!</v>
      </c>
    </row>
    <row r="32" customFormat="false" ht="12.75" hidden="false" customHeight="false" outlineLevel="0" collapsed="false">
      <c r="A32" s="29"/>
      <c r="B32" s="30" t="s">
        <v>392</v>
      </c>
      <c r="C32" s="30"/>
      <c r="D32" s="30"/>
      <c r="E32" s="30"/>
      <c r="F32" s="385" t="n">
        <v>0</v>
      </c>
      <c r="G32" s="203" t="n">
        <f aca="false">F32+G54</f>
        <v>6268.06166666667</v>
      </c>
      <c r="H32" s="203" t="n">
        <f aca="false">G32+H54</f>
        <v>11680.2512333333</v>
      </c>
      <c r="I32" s="203" t="n">
        <f aca="false">H32+I54</f>
        <v>16236.551258</v>
      </c>
      <c r="J32" s="203" t="e">
        <f aca="false">I32+R54</f>
        <v>#REF!</v>
      </c>
      <c r="K32" s="203" t="e">
        <f aca="false">J32+S54</f>
        <v>#REF!</v>
      </c>
      <c r="L32" s="203" t="e">
        <f aca="false">K32+T54</f>
        <v>#REF!</v>
      </c>
      <c r="M32" s="203" t="e">
        <f aca="false">L32+U54</f>
        <v>#REF!</v>
      </c>
      <c r="N32" s="203" t="e">
        <f aca="false">M32+V54</f>
        <v>#REF!</v>
      </c>
      <c r="O32" s="203" t="e">
        <f aca="false">N32+W54</f>
        <v>#REF!</v>
      </c>
      <c r="P32" s="203" t="e">
        <f aca="false">O32+X54</f>
        <v>#REF!</v>
      </c>
      <c r="Q32" s="203" t="e">
        <f aca="false">P32+Y54</f>
        <v>#REF!</v>
      </c>
      <c r="R32" s="203" t="e">
        <f aca="false">Q32+Z54</f>
        <v>#REF!</v>
      </c>
      <c r="S32" s="203" t="e">
        <f aca="false">R32+AA54</f>
        <v>#REF!</v>
      </c>
      <c r="T32" s="203" t="e">
        <f aca="false">S32+AB54</f>
        <v>#REF!</v>
      </c>
      <c r="U32" s="203" t="e">
        <f aca="false">T32+AC54</f>
        <v>#REF!</v>
      </c>
      <c r="V32" s="203" t="e">
        <f aca="false">U32+AD54</f>
        <v>#REF!</v>
      </c>
      <c r="W32" s="203" t="e">
        <f aca="false">V32+AE54</f>
        <v>#REF!</v>
      </c>
      <c r="X32" s="203" t="e">
        <f aca="false">W32+AF54</f>
        <v>#REF!</v>
      </c>
      <c r="Y32" s="203" t="e">
        <f aca="false">X32+AG54</f>
        <v>#REF!</v>
      </c>
      <c r="Z32" s="203" t="e">
        <f aca="false">Y32+AH54</f>
        <v>#REF!</v>
      </c>
      <c r="AA32" s="203" t="e">
        <f aca="false">Z32+AI54</f>
        <v>#REF!</v>
      </c>
      <c r="AB32" s="203" t="e">
        <f aca="false">AA32+AJ54</f>
        <v>#REF!</v>
      </c>
      <c r="AC32" s="203" t="e">
        <f aca="false">AB32+AK54</f>
        <v>#REF!</v>
      </c>
      <c r="AD32" s="203" t="e">
        <f aca="false">AC32+AL54</f>
        <v>#REF!</v>
      </c>
      <c r="AE32" s="203" t="e">
        <f aca="false">AD32+AM54</f>
        <v>#REF!</v>
      </c>
      <c r="AF32" s="203" t="e">
        <f aca="false">AE32+AN54</f>
        <v>#REF!</v>
      </c>
      <c r="AG32" s="197" t="e">
        <f aca="false">SUM(F32:AA32)</f>
        <v>#REF!</v>
      </c>
    </row>
    <row r="33" customFormat="false" ht="12.75" hidden="false" customHeight="false" outlineLevel="0" collapsed="false">
      <c r="A33" s="29"/>
      <c r="B33" s="30" t="s">
        <v>393</v>
      </c>
      <c r="C33" s="30"/>
      <c r="D33" s="30"/>
      <c r="E33" s="30"/>
      <c r="F33" s="304" t="n">
        <v>0</v>
      </c>
      <c r="G33" s="196" t="n">
        <f aca="false">SUM(G30:G32)</f>
        <v>12213.9616666667</v>
      </c>
      <c r="H33" s="196" t="n">
        <f aca="false">SUM(H30:H32)</f>
        <v>11472.9692333333</v>
      </c>
      <c r="I33" s="196" t="n">
        <f aca="false">SUM(I30:I32)</f>
        <v>10777.023618</v>
      </c>
      <c r="J33" s="196" t="e">
        <f aca="false">SUM(J30:J32)</f>
        <v>#REF!</v>
      </c>
      <c r="K33" s="196" t="e">
        <f aca="false">SUM(K30:K32)</f>
        <v>#REF!</v>
      </c>
      <c r="L33" s="196" t="e">
        <f aca="false">SUM(L30:L32)</f>
        <v>#REF!</v>
      </c>
      <c r="M33" s="196" t="e">
        <f aca="false">SUM(M30:M32)</f>
        <v>#REF!</v>
      </c>
      <c r="N33" s="196" t="e">
        <f aca="false">SUM(N30:N32)</f>
        <v>#REF!</v>
      </c>
      <c r="O33" s="196" t="e">
        <f aca="false">SUM(O30:O32)</f>
        <v>#REF!</v>
      </c>
      <c r="P33" s="196" t="e">
        <f aca="false">SUM(P30:P32)</f>
        <v>#REF!</v>
      </c>
      <c r="Q33" s="196" t="e">
        <f aca="false">SUM(Q30:Q32)</f>
        <v>#REF!</v>
      </c>
      <c r="R33" s="196" t="e">
        <f aca="false">SUM(R30:R32)</f>
        <v>#REF!</v>
      </c>
      <c r="S33" s="196" t="e">
        <f aca="false">SUM(S30:S32)</f>
        <v>#REF!</v>
      </c>
      <c r="T33" s="196" t="e">
        <f aca="false">SUM(T30:T32)</f>
        <v>#REF!</v>
      </c>
      <c r="U33" s="196" t="e">
        <f aca="false">SUM(U30:U32)</f>
        <v>#REF!</v>
      </c>
      <c r="V33" s="196" t="e">
        <f aca="false">SUM(V30:V32)</f>
        <v>#REF!</v>
      </c>
      <c r="W33" s="196" t="e">
        <f aca="false">SUM(W30:W32)</f>
        <v>#REF!</v>
      </c>
      <c r="X33" s="196" t="e">
        <f aca="false">SUM(X30:X32)</f>
        <v>#REF!</v>
      </c>
      <c r="Y33" s="196" t="e">
        <f aca="false">SUM(Y30:Y32)</f>
        <v>#REF!</v>
      </c>
      <c r="Z33" s="196" t="e">
        <f aca="false">SUM(Z30:Z32)</f>
        <v>#REF!</v>
      </c>
      <c r="AA33" s="196" t="e">
        <f aca="false">SUM(AA30:AA32)</f>
        <v>#REF!</v>
      </c>
      <c r="AB33" s="196" t="e">
        <f aca="false">SUM(AB30:AB32)</f>
        <v>#REF!</v>
      </c>
      <c r="AC33" s="196" t="e">
        <f aca="false">SUM(AC30:AC32)</f>
        <v>#REF!</v>
      </c>
      <c r="AD33" s="196" t="e">
        <f aca="false">SUM(AD30:AD32)</f>
        <v>#REF!</v>
      </c>
      <c r="AE33" s="196" t="e">
        <f aca="false">SUM(AE30:AE32)</f>
        <v>#REF!</v>
      </c>
      <c r="AF33" s="196" t="e">
        <f aca="false">SUM(AF30:AF32)</f>
        <v>#REF!</v>
      </c>
      <c r="AG33" s="197" t="e">
        <f aca="false">SUM(F33:AA33)</f>
        <v>#REF!</v>
      </c>
    </row>
    <row r="34" customFormat="false" ht="12.75" hidden="false" customHeight="false" outlineLevel="0" collapsed="false">
      <c r="A34" s="29"/>
      <c r="B34" s="30"/>
      <c r="C34" s="30"/>
      <c r="D34" s="30"/>
      <c r="E34" s="30"/>
      <c r="F34" s="304"/>
      <c r="G34" s="196"/>
      <c r="H34" s="196"/>
      <c r="I34" s="196"/>
      <c r="J34" s="196"/>
      <c r="K34" s="196"/>
      <c r="L34" s="196"/>
      <c r="M34" s="196"/>
      <c r="N34" s="196"/>
      <c r="O34" s="196"/>
      <c r="P34" s="196"/>
      <c r="Q34" s="196"/>
      <c r="R34" s="196"/>
      <c r="S34" s="196"/>
      <c r="T34" s="196"/>
      <c r="U34" s="196"/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7" t="s">
        <v>1</v>
      </c>
    </row>
    <row r="35" customFormat="false" ht="12.75" hidden="false" customHeight="false" outlineLevel="0" collapsed="false">
      <c r="A35" s="29" t="s">
        <v>394</v>
      </c>
      <c r="B35" s="30"/>
      <c r="C35" s="30"/>
      <c r="D35" s="30"/>
      <c r="E35" s="30"/>
      <c r="F35" s="386" t="n">
        <v>0</v>
      </c>
      <c r="G35" s="234" t="n">
        <f aca="false">G33+G27</f>
        <v>12213.9616666667</v>
      </c>
      <c r="H35" s="234" t="n">
        <f aca="false">H33+H27</f>
        <v>11472.9692333333</v>
      </c>
      <c r="I35" s="234" t="n">
        <f aca="false">I33+I27</f>
        <v>10777.023618</v>
      </c>
      <c r="J35" s="234" t="e">
        <f aca="false">J33+J27</f>
        <v>#REF!</v>
      </c>
      <c r="K35" s="234" t="e">
        <f aca="false">K33+K27</f>
        <v>#REF!</v>
      </c>
      <c r="L35" s="234" t="e">
        <f aca="false">L33+L27</f>
        <v>#REF!</v>
      </c>
      <c r="M35" s="234" t="e">
        <f aca="false">M33+M27</f>
        <v>#REF!</v>
      </c>
      <c r="N35" s="234" t="e">
        <f aca="false">N33+N27</f>
        <v>#REF!</v>
      </c>
      <c r="O35" s="234" t="e">
        <f aca="false">O33+O27</f>
        <v>#REF!</v>
      </c>
      <c r="P35" s="234" t="e">
        <f aca="false">P33+P27</f>
        <v>#REF!</v>
      </c>
      <c r="Q35" s="234" t="e">
        <f aca="false">Q33+Q27</f>
        <v>#REF!</v>
      </c>
      <c r="R35" s="234" t="e">
        <f aca="false">R33+R27</f>
        <v>#REF!</v>
      </c>
      <c r="S35" s="234" t="e">
        <f aca="false">S33+S27</f>
        <v>#REF!</v>
      </c>
      <c r="T35" s="234" t="e">
        <f aca="false">T33+T27</f>
        <v>#REF!</v>
      </c>
      <c r="U35" s="234" t="e">
        <f aca="false">U33+U27</f>
        <v>#REF!</v>
      </c>
      <c r="V35" s="234" t="e">
        <f aca="false">V33+V27</f>
        <v>#REF!</v>
      </c>
      <c r="W35" s="234" t="e">
        <f aca="false">W33+W27</f>
        <v>#REF!</v>
      </c>
      <c r="X35" s="234" t="e">
        <f aca="false">X33+X27</f>
        <v>#REF!</v>
      </c>
      <c r="Y35" s="234" t="e">
        <f aca="false">Y33+Y27</f>
        <v>#REF!</v>
      </c>
      <c r="Z35" s="234" t="e">
        <f aca="false">Z33+Z27</f>
        <v>#REF!</v>
      </c>
      <c r="AA35" s="234" t="e">
        <f aca="false">AA33+AA27</f>
        <v>#REF!</v>
      </c>
      <c r="AB35" s="234" t="e">
        <f aca="false">AB33+AB27</f>
        <v>#REF!</v>
      </c>
      <c r="AC35" s="234" t="e">
        <f aca="false">AC33+AC27</f>
        <v>#REF!</v>
      </c>
      <c r="AD35" s="234" t="e">
        <f aca="false">AD33+AD27</f>
        <v>#REF!</v>
      </c>
      <c r="AE35" s="234" t="e">
        <f aca="false">AE33+AE27</f>
        <v>#REF!</v>
      </c>
      <c r="AF35" s="234" t="e">
        <f aca="false">AF33+AF27</f>
        <v>#REF!</v>
      </c>
      <c r="AG35" s="197" t="e">
        <f aca="false">SUM(F35:AA35)</f>
        <v>#REF!</v>
      </c>
    </row>
    <row r="36" customFormat="false" ht="12.75" hidden="false" customHeight="false" outlineLevel="0" collapsed="false">
      <c r="A36" s="29"/>
      <c r="B36" s="30"/>
      <c r="C36" s="30"/>
      <c r="D36" s="30"/>
      <c r="E36" s="30"/>
      <c r="F36" s="304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7" t="s">
        <v>1</v>
      </c>
    </row>
    <row r="37" customFormat="false" ht="12.75" hidden="false" customHeight="false" outlineLevel="0" collapsed="false">
      <c r="A37" s="168" t="s">
        <v>395</v>
      </c>
      <c r="B37" s="130"/>
      <c r="C37" s="130"/>
      <c r="D37" s="130"/>
      <c r="E37" s="130"/>
      <c r="F37" s="387" t="n">
        <v>0</v>
      </c>
      <c r="G37" s="388" t="n">
        <f aca="false">G19-G35</f>
        <v>329.897982456141</v>
      </c>
      <c r="H37" s="388" t="n">
        <f aca="false">H19-H35</f>
        <v>614.750064912281</v>
      </c>
      <c r="I37" s="388" t="n">
        <f aca="false">I19-I35</f>
        <v>854.555329368423</v>
      </c>
      <c r="J37" s="388" t="e">
        <f aca="false">J19-J35</f>
        <v>#REF!</v>
      </c>
      <c r="K37" s="388" t="e">
        <f aca="false">K19-K35</f>
        <v>#REF!</v>
      </c>
      <c r="L37" s="388" t="e">
        <f aca="false">L19-L35</f>
        <v>#REF!</v>
      </c>
      <c r="M37" s="388" t="e">
        <f aca="false">M19-M35</f>
        <v>#REF!</v>
      </c>
      <c r="N37" s="388" t="e">
        <f aca="false">N19-N35</f>
        <v>#REF!</v>
      </c>
      <c r="O37" s="388" t="e">
        <f aca="false">O19-O35</f>
        <v>#REF!</v>
      </c>
      <c r="P37" s="388" t="e">
        <f aca="false">P19-P35</f>
        <v>#REF!</v>
      </c>
      <c r="Q37" s="388" t="e">
        <f aca="false">Q19-Q35</f>
        <v>#REF!</v>
      </c>
      <c r="R37" s="388" t="e">
        <f aca="false">R19-R35</f>
        <v>#REF!</v>
      </c>
      <c r="S37" s="388" t="e">
        <f aca="false">S19-S35</f>
        <v>#REF!</v>
      </c>
      <c r="T37" s="388" t="e">
        <f aca="false">T19-T35</f>
        <v>#REF!</v>
      </c>
      <c r="U37" s="388" t="e">
        <f aca="false">U19-U35</f>
        <v>#REF!</v>
      </c>
      <c r="V37" s="388" t="e">
        <f aca="false">V19-V35</f>
        <v>#REF!</v>
      </c>
      <c r="W37" s="388" t="e">
        <f aca="false">W19-W35</f>
        <v>#REF!</v>
      </c>
      <c r="X37" s="388" t="e">
        <f aca="false">X19-X35</f>
        <v>#REF!</v>
      </c>
      <c r="Y37" s="388" t="e">
        <f aca="false">Y19-Y35</f>
        <v>#REF!</v>
      </c>
      <c r="Z37" s="388" t="e">
        <f aca="false">Z19-Z35</f>
        <v>#REF!</v>
      </c>
      <c r="AA37" s="388" t="e">
        <f aca="false">AA19-AA35</f>
        <v>#REF!</v>
      </c>
      <c r="AB37" s="388" t="e">
        <f aca="false">AB19-AB35</f>
        <v>#REF!</v>
      </c>
      <c r="AC37" s="388" t="e">
        <f aca="false">AC19-AC35</f>
        <v>#REF!</v>
      </c>
      <c r="AD37" s="388" t="e">
        <f aca="false">AD19-AD35</f>
        <v>#REF!</v>
      </c>
      <c r="AE37" s="388" t="e">
        <f aca="false">AE19-AE35</f>
        <v>#REF!</v>
      </c>
      <c r="AF37" s="388" t="e">
        <f aca="false">AF19-AF35</f>
        <v>#REF!</v>
      </c>
      <c r="AG37" s="389" t="e">
        <f aca="false">SUM(F37:AA37)</f>
        <v>#REF!</v>
      </c>
    </row>
    <row r="40" customFormat="false" ht="15.75" hidden="false" customHeight="false" outlineLevel="0" collapsed="false">
      <c r="A40" s="390" t="s">
        <v>396</v>
      </c>
      <c r="B40" s="218"/>
      <c r="C40" s="391"/>
    </row>
    <row r="41" customFormat="false" ht="12.75" hidden="false" customHeight="false" outlineLevel="0" collapsed="false">
      <c r="G41" s="6" t="n">
        <f aca="false">G5</f>
        <v>1</v>
      </c>
      <c r="H41" s="6" t="n">
        <f aca="false">H5</f>
        <v>2</v>
      </c>
      <c r="I41" s="6" t="n">
        <f aca="false">I5</f>
        <v>3</v>
      </c>
      <c r="J41" s="6" t="n">
        <f aca="false">J5</f>
        <v>4</v>
      </c>
      <c r="K41" s="6" t="n">
        <f aca="false">K5</f>
        <v>5</v>
      </c>
      <c r="L41" s="6" t="n">
        <f aca="false">L5</f>
        <v>6</v>
      </c>
      <c r="M41" s="6" t="n">
        <f aca="false">M5</f>
        <v>7</v>
      </c>
      <c r="N41" s="6" t="n">
        <f aca="false">N5</f>
        <v>8</v>
      </c>
      <c r="O41" s="6" t="n">
        <f aca="false">O5</f>
        <v>9</v>
      </c>
      <c r="P41" s="6" t="n">
        <f aca="false">P5</f>
        <v>10</v>
      </c>
      <c r="Q41" s="6" t="n">
        <f aca="false">Q5</f>
        <v>11</v>
      </c>
      <c r="R41" s="6" t="n">
        <f aca="false">R5</f>
        <v>12</v>
      </c>
      <c r="S41" s="6" t="n">
        <f aca="false">S5</f>
        <v>13</v>
      </c>
      <c r="T41" s="6" t="n">
        <f aca="false">T5</f>
        <v>14</v>
      </c>
      <c r="U41" s="6" t="n">
        <f aca="false">U5</f>
        <v>15</v>
      </c>
      <c r="V41" s="6" t="n">
        <f aca="false">V5</f>
        <v>16</v>
      </c>
      <c r="W41" s="6" t="n">
        <f aca="false">W5</f>
        <v>17</v>
      </c>
      <c r="X41" s="6" t="n">
        <f aca="false">X5</f>
        <v>18</v>
      </c>
      <c r="Y41" s="6" t="n">
        <f aca="false">Y5</f>
        <v>19</v>
      </c>
      <c r="Z41" s="6" t="n">
        <f aca="false">Z5</f>
        <v>20</v>
      </c>
      <c r="AA41" s="6" t="n">
        <f aca="false">AA5</f>
        <v>21</v>
      </c>
      <c r="AB41" s="6" t="n">
        <f aca="false">AB5</f>
        <v>22</v>
      </c>
      <c r="AC41" s="6" t="n">
        <f aca="false">AC5</f>
        <v>23</v>
      </c>
      <c r="AD41" s="6" t="n">
        <f aca="false">AD5</f>
        <v>24</v>
      </c>
      <c r="AE41" s="6" t="n">
        <f aca="false">AE5</f>
        <v>25</v>
      </c>
      <c r="AF41" s="6" t="n">
        <f aca="false">AF5</f>
        <v>26</v>
      </c>
      <c r="AG41" s="187"/>
    </row>
    <row r="42" customFormat="false" ht="12.75" hidden="false" customHeight="false" outlineLevel="0" collapsed="false">
      <c r="G42" s="6" t="n">
        <f aca="false">G6</f>
        <v>2001</v>
      </c>
      <c r="H42" s="6" t="n">
        <f aca="false">H6</f>
        <v>2002</v>
      </c>
      <c r="I42" s="6" t="n">
        <f aca="false">I6</f>
        <v>2003</v>
      </c>
      <c r="J42" s="6" t="n">
        <f aca="false">J6</f>
        <v>2004</v>
      </c>
      <c r="K42" s="6" t="n">
        <f aca="false">K6</f>
        <v>2005</v>
      </c>
      <c r="L42" s="6" t="n">
        <f aca="false">L6</f>
        <v>2006</v>
      </c>
      <c r="M42" s="6" t="n">
        <f aca="false">M6</f>
        <v>2007</v>
      </c>
      <c r="N42" s="6" t="n">
        <f aca="false">N6</f>
        <v>2008</v>
      </c>
      <c r="O42" s="6" t="n">
        <f aca="false">O6</f>
        <v>2009</v>
      </c>
      <c r="P42" s="6" t="n">
        <f aca="false">P6</f>
        <v>2010</v>
      </c>
      <c r="Q42" s="6" t="n">
        <f aca="false">Q6</f>
        <v>2011</v>
      </c>
      <c r="R42" s="6" t="n">
        <f aca="false">R6</f>
        <v>2012</v>
      </c>
      <c r="S42" s="6" t="n">
        <f aca="false">S6</f>
        <v>2013</v>
      </c>
      <c r="T42" s="6" t="n">
        <f aca="false">T6</f>
        <v>2014</v>
      </c>
      <c r="U42" s="6" t="n">
        <f aca="false">U6</f>
        <v>2015</v>
      </c>
      <c r="V42" s="6" t="n">
        <f aca="false">V6</f>
        <v>2016</v>
      </c>
      <c r="W42" s="6" t="n">
        <f aca="false">W6</f>
        <v>2017</v>
      </c>
      <c r="X42" s="6" t="n">
        <f aca="false">X6</f>
        <v>2018</v>
      </c>
      <c r="Y42" s="6" t="n">
        <f aca="false">Y6</f>
        <v>2019</v>
      </c>
      <c r="Z42" s="6" t="n">
        <f aca="false">Z6</f>
        <v>2020</v>
      </c>
      <c r="AA42" s="6" t="n">
        <f aca="false">AA6</f>
        <v>2021</v>
      </c>
      <c r="AB42" s="6" t="n">
        <f aca="false">AB6</f>
        <v>2022</v>
      </c>
      <c r="AC42" s="6" t="n">
        <f aca="false">AC6</f>
        <v>2023</v>
      </c>
      <c r="AD42" s="6" t="n">
        <f aca="false">AD6</f>
        <v>2024</v>
      </c>
      <c r="AE42" s="6" t="n">
        <f aca="false">AE6</f>
        <v>2025</v>
      </c>
      <c r="AF42" s="6" t="n">
        <f aca="false">AF6</f>
        <v>2026</v>
      </c>
      <c r="AG42" s="392" t="s">
        <v>196</v>
      </c>
    </row>
    <row r="43" customFormat="false" ht="12.75" hidden="false" customHeight="false" outlineLevel="0" collapsed="false">
      <c r="A43" s="18" t="s">
        <v>397</v>
      </c>
      <c r="B43" s="15"/>
      <c r="C43" s="15"/>
      <c r="D43" s="15"/>
      <c r="E43" s="15"/>
      <c r="F43" s="393"/>
      <c r="G43" s="393" t="n">
        <f aca="false">CF!D20</f>
        <v>7100</v>
      </c>
      <c r="H43" s="393" t="n">
        <f aca="false">CF!E20</f>
        <v>6200</v>
      </c>
      <c r="I43" s="393" t="n">
        <f aca="false">CF!F20</f>
        <v>5300</v>
      </c>
      <c r="J43" s="393" t="e">
        <f aca="false">#REF!</f>
        <v>#REF!</v>
      </c>
      <c r="K43" s="393" t="e">
        <f aca="false">#REF!</f>
        <v>#REF!</v>
      </c>
      <c r="L43" s="393" t="e">
        <f aca="false">#REF!</f>
        <v>#REF!</v>
      </c>
      <c r="M43" s="393" t="e">
        <f aca="false">#REF!</f>
        <v>#REF!</v>
      </c>
      <c r="N43" s="393" t="e">
        <f aca="false">#REF!</f>
        <v>#REF!</v>
      </c>
      <c r="O43" s="393" t="e">
        <f aca="false">#REF!</f>
        <v>#REF!</v>
      </c>
      <c r="P43" s="393" t="e">
        <f aca="false">#REF!</f>
        <v>#REF!</v>
      </c>
      <c r="Q43" s="393" t="e">
        <f aca="false">#REF!</f>
        <v>#REF!</v>
      </c>
      <c r="R43" s="393" t="e">
        <f aca="false">#REF!</f>
        <v>#REF!</v>
      </c>
      <c r="S43" s="393" t="e">
        <f aca="false">#REF!</f>
        <v>#REF!</v>
      </c>
      <c r="T43" s="393" t="e">
        <f aca="false">#REF!</f>
        <v>#REF!</v>
      </c>
      <c r="U43" s="393" t="e">
        <f aca="false">#REF!</f>
        <v>#REF!</v>
      </c>
      <c r="V43" s="393" t="e">
        <f aca="false">#REF!</f>
        <v>#REF!</v>
      </c>
      <c r="W43" s="393" t="e">
        <f aca="false">#REF!</f>
        <v>#REF!</v>
      </c>
      <c r="X43" s="393" t="e">
        <f aca="false">#REF!</f>
        <v>#REF!</v>
      </c>
      <c r="Y43" s="393" t="e">
        <f aca="false">#REF!</f>
        <v>#REF!</v>
      </c>
      <c r="Z43" s="393" t="e">
        <f aca="false">#REF!</f>
        <v>#REF!</v>
      </c>
      <c r="AA43" s="393" t="e">
        <f aca="false">#REF!</f>
        <v>#REF!</v>
      </c>
      <c r="AB43" s="393" t="e">
        <f aca="false">#REF!</f>
        <v>#REF!</v>
      </c>
      <c r="AC43" s="393" t="e">
        <f aca="false">#REF!</f>
        <v>#REF!</v>
      </c>
      <c r="AD43" s="393" t="e">
        <f aca="false">#REF!</f>
        <v>#REF!</v>
      </c>
      <c r="AE43" s="393" t="e">
        <f aca="false">#REF!</f>
        <v>#REF!</v>
      </c>
      <c r="AF43" s="393" t="e">
        <f aca="false">#REF!</f>
        <v>#REF!</v>
      </c>
      <c r="AG43" s="394" t="e">
        <f aca="false">SUM(G43:AF43)</f>
        <v>#REF!</v>
      </c>
    </row>
    <row r="44" customFormat="false" ht="12.75" hidden="false" customHeight="false" outlineLevel="0" collapsed="false">
      <c r="A44" s="29"/>
      <c r="B44" s="30"/>
      <c r="C44" s="30"/>
      <c r="D44" s="30"/>
      <c r="E44" s="30"/>
      <c r="F44" s="30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96"/>
      <c r="S44" s="196"/>
      <c r="T44" s="196"/>
      <c r="U44" s="196"/>
      <c r="V44" s="196"/>
      <c r="W44" s="196"/>
      <c r="X44" s="196"/>
      <c r="Y44" s="196"/>
      <c r="Z44" s="196"/>
      <c r="AA44" s="196"/>
      <c r="AB44" s="196"/>
      <c r="AC44" s="196"/>
      <c r="AD44" s="196"/>
      <c r="AE44" s="196"/>
      <c r="AF44" s="196"/>
      <c r="AG44" s="197" t="s">
        <v>1</v>
      </c>
    </row>
    <row r="45" customFormat="false" ht="12.75" hidden="false" customHeight="false" outlineLevel="0" collapsed="false">
      <c r="A45" s="29" t="s">
        <v>398</v>
      </c>
      <c r="B45" s="30"/>
      <c r="C45" s="30"/>
      <c r="D45" s="30"/>
      <c r="E45" s="30"/>
      <c r="F45" s="30"/>
      <c r="G45" s="196" t="n">
        <f aca="false">CF!D39</f>
        <v>45.9</v>
      </c>
      <c r="H45" s="196" t="n">
        <f aca="false">CF!E39</f>
        <v>46.818</v>
      </c>
      <c r="I45" s="196" t="n">
        <f aca="false">CF!F39</f>
        <v>47.75436</v>
      </c>
      <c r="J45" s="196" t="e">
        <f aca="false">#REF!</f>
        <v>#REF!</v>
      </c>
      <c r="K45" s="196" t="e">
        <f aca="false">#REF!</f>
        <v>#REF!</v>
      </c>
      <c r="L45" s="196" t="e">
        <f aca="false">#REF!</f>
        <v>#REF!</v>
      </c>
      <c r="M45" s="196" t="e">
        <f aca="false">#REF!</f>
        <v>#REF!</v>
      </c>
      <c r="N45" s="196" t="e">
        <f aca="false">#REF!</f>
        <v>#REF!</v>
      </c>
      <c r="O45" s="196" t="e">
        <f aca="false">#REF!</f>
        <v>#REF!</v>
      </c>
      <c r="P45" s="196" t="e">
        <f aca="false">#REF!</f>
        <v>#REF!</v>
      </c>
      <c r="Q45" s="196" t="e">
        <f aca="false">#REF!</f>
        <v>#REF!</v>
      </c>
      <c r="R45" s="196" t="e">
        <f aca="false">#REF!</f>
        <v>#REF!</v>
      </c>
      <c r="S45" s="196" t="e">
        <f aca="false">#REF!</f>
        <v>#REF!</v>
      </c>
      <c r="T45" s="196" t="e">
        <f aca="false">#REF!</f>
        <v>#REF!</v>
      </c>
      <c r="U45" s="196" t="e">
        <f aca="false">#REF!</f>
        <v>#REF!</v>
      </c>
      <c r="V45" s="196" t="e">
        <f aca="false">#REF!</f>
        <v>#REF!</v>
      </c>
      <c r="W45" s="196" t="e">
        <f aca="false">#REF!</f>
        <v>#REF!</v>
      </c>
      <c r="X45" s="196" t="e">
        <f aca="false">#REF!</f>
        <v>#REF!</v>
      </c>
      <c r="Y45" s="196" t="e">
        <f aca="false">#REF!</f>
        <v>#REF!</v>
      </c>
      <c r="Z45" s="196" t="e">
        <f aca="false">#REF!</f>
        <v>#REF!</v>
      </c>
      <c r="AA45" s="196" t="e">
        <f aca="false">#REF!</f>
        <v>#REF!</v>
      </c>
      <c r="AB45" s="196" t="e">
        <f aca="false">#REF!</f>
        <v>#REF!</v>
      </c>
      <c r="AC45" s="196" t="e">
        <f aca="false">#REF!</f>
        <v>#REF!</v>
      </c>
      <c r="AD45" s="196" t="e">
        <f aca="false">#REF!</f>
        <v>#REF!</v>
      </c>
      <c r="AE45" s="196" t="e">
        <f aca="false">#REF!</f>
        <v>#REF!</v>
      </c>
      <c r="AF45" s="196" t="e">
        <f aca="false">#REF!</f>
        <v>#REF!</v>
      </c>
      <c r="AG45" s="197" t="e">
        <f aca="false">SUM(G45:AF45)</f>
        <v>#REF!</v>
      </c>
    </row>
    <row r="46" customFormat="false" ht="12.75" hidden="false" customHeight="false" outlineLevel="0" collapsed="false">
      <c r="A46" s="29" t="s">
        <v>113</v>
      </c>
      <c r="B46" s="30"/>
      <c r="C46" s="30"/>
      <c r="D46" s="30"/>
      <c r="E46" s="30"/>
      <c r="F46" s="30"/>
      <c r="G46" s="196" t="n">
        <f aca="false">CF!D45</f>
        <v>0</v>
      </c>
      <c r="H46" s="196" t="n">
        <f aca="false">CF!E45</f>
        <v>0</v>
      </c>
      <c r="I46" s="196" t="n">
        <f aca="false">CF!F45</f>
        <v>0</v>
      </c>
      <c r="J46" s="196" t="e">
        <f aca="false">#REF!</f>
        <v>#REF!</v>
      </c>
      <c r="K46" s="196" t="e">
        <f aca="false">#REF!</f>
        <v>#REF!</v>
      </c>
      <c r="L46" s="196" t="e">
        <f aca="false">#REF!</f>
        <v>#REF!</v>
      </c>
      <c r="M46" s="196" t="e">
        <f aca="false">#REF!</f>
        <v>#REF!</v>
      </c>
      <c r="N46" s="196" t="e">
        <f aca="false">#REF!</f>
        <v>#REF!</v>
      </c>
      <c r="O46" s="196" t="e">
        <f aca="false">#REF!</f>
        <v>#REF!</v>
      </c>
      <c r="P46" s="196" t="e">
        <f aca="false">#REF!</f>
        <v>#REF!</v>
      </c>
      <c r="Q46" s="196" t="e">
        <f aca="false">#REF!</f>
        <v>#REF!</v>
      </c>
      <c r="R46" s="196" t="e">
        <f aca="false">#REF!</f>
        <v>#REF!</v>
      </c>
      <c r="S46" s="196" t="e">
        <f aca="false">#REF!</f>
        <v>#REF!</v>
      </c>
      <c r="T46" s="196" t="e">
        <f aca="false">#REF!</f>
        <v>#REF!</v>
      </c>
      <c r="U46" s="196" t="e">
        <f aca="false">#REF!</f>
        <v>#REF!</v>
      </c>
      <c r="V46" s="196" t="e">
        <f aca="false">#REF!</f>
        <v>#REF!</v>
      </c>
      <c r="W46" s="196" t="e">
        <f aca="false">#REF!</f>
        <v>#REF!</v>
      </c>
      <c r="X46" s="196" t="e">
        <f aca="false">#REF!</f>
        <v>#REF!</v>
      </c>
      <c r="Y46" s="196" t="e">
        <f aca="false">#REF!</f>
        <v>#REF!</v>
      </c>
      <c r="Z46" s="196" t="e">
        <f aca="false">#REF!</f>
        <v>#REF!</v>
      </c>
      <c r="AA46" s="196" t="e">
        <f aca="false">#REF!</f>
        <v>#REF!</v>
      </c>
      <c r="AB46" s="196" t="e">
        <f aca="false">#REF!</f>
        <v>#REF!</v>
      </c>
      <c r="AC46" s="196" t="e">
        <f aca="false">#REF!</f>
        <v>#REF!</v>
      </c>
      <c r="AD46" s="196" t="e">
        <f aca="false">#REF!</f>
        <v>#REF!</v>
      </c>
      <c r="AE46" s="196" t="e">
        <f aca="false">#REF!</f>
        <v>#REF!</v>
      </c>
      <c r="AF46" s="196" t="e">
        <f aca="false">#REF!</f>
        <v>#REF!</v>
      </c>
      <c r="AG46" s="197" t="e">
        <f aca="false">SUM(G46:AF46)</f>
        <v>#REF!</v>
      </c>
    </row>
    <row r="47" customFormat="false" ht="12.75" hidden="false" customHeight="false" outlineLevel="0" collapsed="false">
      <c r="A47" s="29" t="s">
        <v>399</v>
      </c>
      <c r="B47" s="30"/>
      <c r="C47" s="30"/>
      <c r="D47" s="30"/>
      <c r="E47" s="30"/>
      <c r="F47" s="30"/>
      <c r="G47" s="196" t="n">
        <f aca="false">DEPR!F29</f>
        <v>456.140350877193</v>
      </c>
      <c r="H47" s="196" t="n">
        <f aca="false">DEPR!G29</f>
        <v>456.140350877193</v>
      </c>
      <c r="I47" s="196" t="n">
        <f aca="false">DEPR!H29</f>
        <v>456.140350877193</v>
      </c>
      <c r="J47" s="196" t="n">
        <f aca="false">DEPR!I29</f>
        <v>456.140350877193</v>
      </c>
      <c r="K47" s="196" t="n">
        <f aca="false">DEPR!J29</f>
        <v>456.140350877193</v>
      </c>
      <c r="L47" s="196" t="n">
        <f aca="false">DEPR!K29</f>
        <v>456.140350877193</v>
      </c>
      <c r="M47" s="196" t="n">
        <f aca="false">DEPR!L29</f>
        <v>456.140350877193</v>
      </c>
      <c r="N47" s="196" t="n">
        <f aca="false">DEPR!M29</f>
        <v>456.140350877193</v>
      </c>
      <c r="O47" s="196" t="n">
        <f aca="false">DEPR!N29</f>
        <v>456.140350877193</v>
      </c>
      <c r="P47" s="196" t="n">
        <f aca="false">DEPR!O29</f>
        <v>456.140350877193</v>
      </c>
      <c r="Q47" s="196" t="n">
        <f aca="false">DEPR!P29</f>
        <v>456.140350877193</v>
      </c>
      <c r="R47" s="196" t="n">
        <f aca="false">DEPR!Q29</f>
        <v>456.140350877193</v>
      </c>
      <c r="S47" s="196" t="n">
        <f aca="false">DEPR!R29</f>
        <v>456.140350877193</v>
      </c>
      <c r="T47" s="196" t="n">
        <f aca="false">DEPR!S29</f>
        <v>456.140350877193</v>
      </c>
      <c r="U47" s="196" t="n">
        <f aca="false">DEPR!T29</f>
        <v>456.140350877193</v>
      </c>
      <c r="V47" s="196" t="n">
        <f aca="false">DEPR!U29</f>
        <v>456.140350877193</v>
      </c>
      <c r="W47" s="196" t="n">
        <f aca="false">DEPR!V29</f>
        <v>456.140350877193</v>
      </c>
      <c r="X47" s="196" t="n">
        <f aca="false">DEPR!W29</f>
        <v>456.140350877193</v>
      </c>
      <c r="Y47" s="196" t="n">
        <f aca="false">DEPR!X29</f>
        <v>456.140350877193</v>
      </c>
      <c r="Z47" s="196" t="n">
        <f aca="false">DEPR!Y29</f>
        <v>456.140350877193</v>
      </c>
      <c r="AA47" s="196" t="n">
        <f aca="false">DEPR!Z29</f>
        <v>456.140350877193</v>
      </c>
      <c r="AB47" s="196" t="n">
        <f aca="false">DEPR!AA29</f>
        <v>456.140350877193</v>
      </c>
      <c r="AC47" s="196" t="n">
        <f aca="false">DEPR!AB29</f>
        <v>456.140350877193</v>
      </c>
      <c r="AD47" s="196" t="n">
        <f aca="false">DEPR!AC29</f>
        <v>456.140350877193</v>
      </c>
      <c r="AE47" s="196" t="n">
        <f aca="false">DEPR!AD29</f>
        <v>456.140350877193</v>
      </c>
      <c r="AF47" s="196" t="n">
        <f aca="false">DEPR!AE29</f>
        <v>456.140350877193</v>
      </c>
      <c r="AG47" s="197" t="n">
        <f aca="false">SUM(G47:AF47)</f>
        <v>11859.649122807</v>
      </c>
    </row>
    <row r="48" customFormat="false" ht="12.75" hidden="false" customHeight="false" outlineLevel="0" collapsed="false">
      <c r="A48" s="29" t="s">
        <v>400</v>
      </c>
      <c r="B48" s="30"/>
      <c r="C48" s="30"/>
      <c r="D48" s="30"/>
      <c r="E48" s="30"/>
      <c r="F48" s="30"/>
      <c r="G48" s="203" t="n">
        <f aca="false">FIN!D10</f>
        <v>0</v>
      </c>
      <c r="H48" s="203" t="n">
        <f aca="false">FIN!E10</f>
        <v>0</v>
      </c>
      <c r="I48" s="203" t="n">
        <f aca="false">FIN!F10</f>
        <v>0</v>
      </c>
      <c r="J48" s="203" t="n">
        <f aca="false">FIN!G10</f>
        <v>0</v>
      </c>
      <c r="K48" s="203" t="n">
        <f aca="false">FIN!H10</f>
        <v>0</v>
      </c>
      <c r="L48" s="203" t="n">
        <f aca="false">FIN!I10</f>
        <v>0</v>
      </c>
      <c r="M48" s="203" t="n">
        <f aca="false">FIN!J10</f>
        <v>0</v>
      </c>
      <c r="N48" s="203" t="n">
        <f aca="false">FIN!K10</f>
        <v>0</v>
      </c>
      <c r="O48" s="203" t="n">
        <f aca="false">FIN!L10</f>
        <v>0</v>
      </c>
      <c r="P48" s="203" t="n">
        <f aca="false">FIN!M10</f>
        <v>0</v>
      </c>
      <c r="Q48" s="203" t="n">
        <f aca="false">FIN!N10</f>
        <v>0</v>
      </c>
      <c r="R48" s="203" t="n">
        <f aca="false">FIN!O10</f>
        <v>0</v>
      </c>
      <c r="S48" s="203" t="n">
        <f aca="false">FIN!P10</f>
        <v>0</v>
      </c>
      <c r="T48" s="203" t="n">
        <f aca="false">FIN!Q10</f>
        <v>0</v>
      </c>
      <c r="U48" s="203" t="n">
        <f aca="false">FIN!R10</f>
        <v>0</v>
      </c>
      <c r="V48" s="203" t="n">
        <f aca="false">FIN!S10</f>
        <v>0</v>
      </c>
      <c r="W48" s="203" t="n">
        <f aca="false">FIN!T10</f>
        <v>0</v>
      </c>
      <c r="X48" s="203" t="n">
        <f aca="false">FIN!U10</f>
        <v>0</v>
      </c>
      <c r="Y48" s="203" t="n">
        <f aca="false">FIN!V10</f>
        <v>0</v>
      </c>
      <c r="Z48" s="203" t="n">
        <f aca="false">FIN!W10</f>
        <v>0</v>
      </c>
      <c r="AA48" s="203" t="n">
        <f aca="false">FIN!X10</f>
        <v>0</v>
      </c>
      <c r="AB48" s="203" t="n">
        <f aca="false">FIN!Y10</f>
        <v>0</v>
      </c>
      <c r="AC48" s="203" t="n">
        <f aca="false">FIN!Z10</f>
        <v>0</v>
      </c>
      <c r="AD48" s="203" t="n">
        <f aca="false">FIN!AA10</f>
        <v>0</v>
      </c>
      <c r="AE48" s="203" t="n">
        <f aca="false">FIN!AB10</f>
        <v>0</v>
      </c>
      <c r="AF48" s="203" t="n">
        <f aca="false">FIN!AC10</f>
        <v>0</v>
      </c>
      <c r="AG48" s="204" t="n">
        <f aca="false">SUM(G48:AF48)</f>
        <v>0</v>
      </c>
    </row>
    <row r="49" customFormat="false" ht="12.75" hidden="false" customHeight="false" outlineLevel="0" collapsed="false">
      <c r="A49" s="29" t="s">
        <v>401</v>
      </c>
      <c r="B49" s="30"/>
      <c r="C49" s="30"/>
      <c r="D49" s="30"/>
      <c r="E49" s="30"/>
      <c r="F49" s="30"/>
      <c r="G49" s="196" t="n">
        <f aca="false">SUM(G45:G48)</f>
        <v>502.040350877193</v>
      </c>
      <c r="H49" s="196" t="n">
        <f aca="false">SUM(H45:H48)</f>
        <v>502.958350877193</v>
      </c>
      <c r="I49" s="196" t="n">
        <f aca="false">SUM(I45:I48)</f>
        <v>503.894710877193</v>
      </c>
      <c r="J49" s="196" t="e">
        <f aca="false">SUM(J45:J48)</f>
        <v>#REF!</v>
      </c>
      <c r="K49" s="196" t="e">
        <f aca="false">SUM(K45:K48)</f>
        <v>#REF!</v>
      </c>
      <c r="L49" s="196" t="e">
        <f aca="false">SUM(L45:L48)</f>
        <v>#REF!</v>
      </c>
      <c r="M49" s="196" t="e">
        <f aca="false">SUM(M45:M48)</f>
        <v>#REF!</v>
      </c>
      <c r="N49" s="196" t="e">
        <f aca="false">SUM(N45:N48)</f>
        <v>#REF!</v>
      </c>
      <c r="O49" s="196" t="e">
        <f aca="false">SUM(O45:O48)</f>
        <v>#REF!</v>
      </c>
      <c r="P49" s="196" t="e">
        <f aca="false">SUM(P45:P48)</f>
        <v>#REF!</v>
      </c>
      <c r="Q49" s="196" t="e">
        <f aca="false">SUM(Q45:Q48)</f>
        <v>#REF!</v>
      </c>
      <c r="R49" s="196" t="e">
        <f aca="false">SUM(R45:R48)</f>
        <v>#REF!</v>
      </c>
      <c r="S49" s="196" t="e">
        <f aca="false">SUM(S45:S48)</f>
        <v>#REF!</v>
      </c>
      <c r="T49" s="196" t="e">
        <f aca="false">SUM(T45:T48)</f>
        <v>#REF!</v>
      </c>
      <c r="U49" s="196" t="e">
        <f aca="false">SUM(U45:U48)</f>
        <v>#REF!</v>
      </c>
      <c r="V49" s="196" t="e">
        <f aca="false">SUM(V45:V48)</f>
        <v>#REF!</v>
      </c>
      <c r="W49" s="196" t="e">
        <f aca="false">SUM(W45:W48)</f>
        <v>#REF!</v>
      </c>
      <c r="X49" s="196" t="e">
        <f aca="false">SUM(X45:X48)</f>
        <v>#REF!</v>
      </c>
      <c r="Y49" s="196" t="e">
        <f aca="false">SUM(Y45:Y48)</f>
        <v>#REF!</v>
      </c>
      <c r="Z49" s="196" t="e">
        <f aca="false">SUM(Z45:Z48)</f>
        <v>#REF!</v>
      </c>
      <c r="AA49" s="196" t="e">
        <f aca="false">SUM(AA45:AA48)</f>
        <v>#REF!</v>
      </c>
      <c r="AB49" s="196" t="e">
        <f aca="false">SUM(AB45:AB48)</f>
        <v>#REF!</v>
      </c>
      <c r="AC49" s="196" t="e">
        <f aca="false">SUM(AC45:AC48)</f>
        <v>#REF!</v>
      </c>
      <c r="AD49" s="196" t="e">
        <f aca="false">SUM(AD45:AD48)</f>
        <v>#REF!</v>
      </c>
      <c r="AE49" s="196" t="e">
        <f aca="false">SUM(AE45:AE48)</f>
        <v>#REF!</v>
      </c>
      <c r="AF49" s="196" t="e">
        <f aca="false">SUM(AF45:AF48)</f>
        <v>#REF!</v>
      </c>
      <c r="AG49" s="197" t="e">
        <f aca="false">SUM(G45:AG48)</f>
        <v>#REF!</v>
      </c>
    </row>
    <row r="50" customFormat="false" ht="12.75" hidden="false" customHeight="false" outlineLevel="0" collapsed="false">
      <c r="A50" s="29"/>
      <c r="B50" s="30"/>
      <c r="C50" s="30"/>
      <c r="D50" s="30"/>
      <c r="E50" s="30"/>
      <c r="F50" s="30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  <c r="AB50" s="196"/>
      <c r="AC50" s="196"/>
      <c r="AD50" s="196"/>
      <c r="AE50" s="196"/>
      <c r="AF50" s="196"/>
      <c r="AG50" s="197" t="s">
        <v>1</v>
      </c>
    </row>
    <row r="51" customFormat="false" ht="12.75" hidden="false" customHeight="false" outlineLevel="0" collapsed="false">
      <c r="A51" s="29" t="s">
        <v>402</v>
      </c>
      <c r="B51" s="30"/>
      <c r="C51" s="30"/>
      <c r="D51" s="30"/>
      <c r="E51" s="30" t="s">
        <v>1</v>
      </c>
      <c r="F51" s="30"/>
      <c r="G51" s="196" t="n">
        <f aca="false">G43-G49</f>
        <v>6597.95964912281</v>
      </c>
      <c r="H51" s="196" t="n">
        <f aca="false">H43-H49</f>
        <v>5697.04164912281</v>
      </c>
      <c r="I51" s="196" t="n">
        <f aca="false">I43-I49</f>
        <v>4796.10528912281</v>
      </c>
      <c r="J51" s="196" t="e">
        <f aca="false">J43-J49</f>
        <v>#REF!</v>
      </c>
      <c r="K51" s="196" t="e">
        <f aca="false">K43-K49</f>
        <v>#REF!</v>
      </c>
      <c r="L51" s="196" t="e">
        <f aca="false">L43-L49</f>
        <v>#REF!</v>
      </c>
      <c r="M51" s="196" t="e">
        <f aca="false">M43-M49</f>
        <v>#REF!</v>
      </c>
      <c r="N51" s="196" t="e">
        <f aca="false">N43-N49</f>
        <v>#REF!</v>
      </c>
      <c r="O51" s="196" t="e">
        <f aca="false">O43-O49</f>
        <v>#REF!</v>
      </c>
      <c r="P51" s="196" t="e">
        <f aca="false">P43-P49</f>
        <v>#REF!</v>
      </c>
      <c r="Q51" s="196" t="e">
        <f aca="false">Q43-Q49</f>
        <v>#REF!</v>
      </c>
      <c r="R51" s="196" t="e">
        <f aca="false">R43-R49</f>
        <v>#REF!</v>
      </c>
      <c r="S51" s="196" t="e">
        <f aca="false">S43-S49</f>
        <v>#REF!</v>
      </c>
      <c r="T51" s="196" t="e">
        <f aca="false">T43-T49</f>
        <v>#REF!</v>
      </c>
      <c r="U51" s="196" t="e">
        <f aca="false">U43-U49</f>
        <v>#REF!</v>
      </c>
      <c r="V51" s="196" t="e">
        <f aca="false">V43-V49</f>
        <v>#REF!</v>
      </c>
      <c r="W51" s="196" t="e">
        <f aca="false">W43-W49</f>
        <v>#REF!</v>
      </c>
      <c r="X51" s="196" t="e">
        <f aca="false">X43-X49</f>
        <v>#REF!</v>
      </c>
      <c r="Y51" s="196" t="e">
        <f aca="false">Y43-Y49</f>
        <v>#REF!</v>
      </c>
      <c r="Z51" s="196" t="e">
        <f aca="false">Z43-Z49</f>
        <v>#REF!</v>
      </c>
      <c r="AA51" s="196" t="e">
        <f aca="false">AA43-AA49</f>
        <v>#REF!</v>
      </c>
      <c r="AB51" s="196" t="e">
        <f aca="false">AB43-AB49</f>
        <v>#REF!</v>
      </c>
      <c r="AC51" s="196" t="e">
        <f aca="false">AC43-AC49</f>
        <v>#REF!</v>
      </c>
      <c r="AD51" s="196" t="e">
        <f aca="false">AD43-AD49</f>
        <v>#REF!</v>
      </c>
      <c r="AE51" s="196" t="e">
        <f aca="false">AE43-AE49</f>
        <v>#REF!</v>
      </c>
      <c r="AF51" s="196" t="e">
        <f aca="false">AF43-AF49</f>
        <v>#REF!</v>
      </c>
      <c r="AG51" s="197" t="e">
        <f aca="false">SUM(G51:AF51)</f>
        <v>#REF!</v>
      </c>
    </row>
    <row r="52" customFormat="false" ht="12.75" hidden="false" customHeight="false" outlineLevel="0" collapsed="false">
      <c r="A52" s="29" t="s">
        <v>403</v>
      </c>
      <c r="B52" s="30"/>
      <c r="C52" s="30"/>
      <c r="D52" s="30"/>
      <c r="E52" s="30" t="s">
        <v>1</v>
      </c>
      <c r="F52" s="30"/>
      <c r="G52" s="196" t="n">
        <f aca="false">IF(G51&lt;0,0,G51*ASS!$I$9)</f>
        <v>329.89798245614</v>
      </c>
      <c r="H52" s="196" t="n">
        <f aca="false">IF(H51&lt;0,0,H51*ASS!$I$9)</f>
        <v>284.85208245614</v>
      </c>
      <c r="I52" s="196" t="n">
        <f aca="false">IF(I51&lt;0,0,I51*ASS!$I$9)</f>
        <v>239.80526445614</v>
      </c>
      <c r="J52" s="196" t="e">
        <f aca="false">IF(J51&lt;0,0,J51*ASS!$I$9)</f>
        <v>#REF!</v>
      </c>
      <c r="K52" s="196" t="e">
        <f aca="false">IF(K51&lt;0,0,K51*ASS!$I$9)</f>
        <v>#REF!</v>
      </c>
      <c r="L52" s="196" t="e">
        <f aca="false">IF(L51&lt;0,0,L51*ASS!$I$9)</f>
        <v>#REF!</v>
      </c>
      <c r="M52" s="196" t="e">
        <f aca="false">IF(M51&lt;0,0,M51*ASS!$I$9)</f>
        <v>#REF!</v>
      </c>
      <c r="N52" s="196" t="e">
        <f aca="false">IF(N51&lt;0,0,N51*ASS!$I$9)</f>
        <v>#REF!</v>
      </c>
      <c r="O52" s="196" t="e">
        <f aca="false">IF(O51&lt;0,0,O51*ASS!$I$9)</f>
        <v>#REF!</v>
      </c>
      <c r="P52" s="196" t="e">
        <f aca="false">IF(P51&lt;0,0,P51*ASS!$I$9)</f>
        <v>#REF!</v>
      </c>
      <c r="Q52" s="196" t="e">
        <f aca="false">IF(Q51&lt;0,0,Q51*ASS!$I$9)</f>
        <v>#REF!</v>
      </c>
      <c r="R52" s="196" t="e">
        <f aca="false">IF(R51&lt;0,0,R51*ASS!$I$9)</f>
        <v>#REF!</v>
      </c>
      <c r="S52" s="196" t="e">
        <f aca="false">IF(S51&lt;0,0,S51*ASS!$I$9)</f>
        <v>#REF!</v>
      </c>
      <c r="T52" s="196" t="e">
        <f aca="false">IF(T51&lt;0,0,T51*ASS!$I$9)</f>
        <v>#REF!</v>
      </c>
      <c r="U52" s="196" t="e">
        <f aca="false">IF(U51&lt;0,0,U51*ASS!$I$9)</f>
        <v>#REF!</v>
      </c>
      <c r="V52" s="196" t="e">
        <f aca="false">IF(V51&lt;0,0,V51*ASS!$I$9)</f>
        <v>#REF!</v>
      </c>
      <c r="W52" s="196" t="e">
        <f aca="false">IF(W51&lt;0,0,W51*ASS!$I$9)</f>
        <v>#REF!</v>
      </c>
      <c r="X52" s="196" t="e">
        <f aca="false">IF(X51&lt;0,0,X51*ASS!$I$9)</f>
        <v>#REF!</v>
      </c>
      <c r="Y52" s="196" t="e">
        <f aca="false">IF(Y51&lt;0,0,Y51*ASS!$I$9)</f>
        <v>#REF!</v>
      </c>
      <c r="Z52" s="196" t="e">
        <f aca="false">IF(Z51&lt;0,0,Z51*ASS!$I$9)</f>
        <v>#REF!</v>
      </c>
      <c r="AA52" s="196" t="e">
        <f aca="false">IF(AA51&lt;0,0,AA51*ASS!$I$9)</f>
        <v>#REF!</v>
      </c>
      <c r="AB52" s="196" t="e">
        <f aca="false">IF(AB51&lt;0,0,AB51*ASS!$I$9)</f>
        <v>#REF!</v>
      </c>
      <c r="AC52" s="196" t="e">
        <f aca="false">IF(AC51&lt;0,0,AC51*ASS!$I$9)</f>
        <v>#REF!</v>
      </c>
      <c r="AD52" s="196" t="e">
        <f aca="false">IF(AD51&lt;0,0,AD51*ASS!$I$9)</f>
        <v>#REF!</v>
      </c>
      <c r="AE52" s="196" t="e">
        <f aca="false">IF(AE51&lt;0,0,AE51*ASS!$I$9)</f>
        <v>#REF!</v>
      </c>
      <c r="AF52" s="196" t="e">
        <f aca="false">IF(AF51&lt;0,0,AF51*ASS!$I$9)</f>
        <v>#REF!</v>
      </c>
      <c r="AG52" s="197" t="e">
        <f aca="false">SUM(G52:AF52)</f>
        <v>#REF!</v>
      </c>
    </row>
    <row r="53" customFormat="false" ht="12.75" hidden="false" customHeight="false" outlineLevel="0" collapsed="false">
      <c r="A53" s="29"/>
      <c r="B53" s="30"/>
      <c r="C53" s="30"/>
      <c r="D53" s="30"/>
      <c r="E53" s="30" t="s">
        <v>1</v>
      </c>
      <c r="F53" s="30"/>
      <c r="G53" s="196"/>
      <c r="H53" s="196"/>
      <c r="I53" s="196"/>
      <c r="J53" s="196"/>
      <c r="K53" s="196"/>
      <c r="L53" s="196"/>
      <c r="M53" s="196"/>
      <c r="N53" s="196"/>
      <c r="O53" s="196"/>
      <c r="P53" s="196"/>
      <c r="Q53" s="196"/>
      <c r="R53" s="196"/>
      <c r="S53" s="196"/>
      <c r="T53" s="196"/>
      <c r="U53" s="196"/>
      <c r="V53" s="196"/>
      <c r="W53" s="196"/>
      <c r="X53" s="196"/>
      <c r="Y53" s="196"/>
      <c r="Z53" s="196"/>
      <c r="AA53" s="196"/>
      <c r="AB53" s="196"/>
      <c r="AC53" s="196"/>
      <c r="AD53" s="196"/>
      <c r="AE53" s="196"/>
      <c r="AF53" s="196"/>
      <c r="AG53" s="197" t="n">
        <f aca="false">SUM(G53:AA53)</f>
        <v>0</v>
      </c>
    </row>
    <row r="54" customFormat="false" ht="12.75" hidden="false" customHeight="false" outlineLevel="0" collapsed="false">
      <c r="A54" s="29" t="s">
        <v>404</v>
      </c>
      <c r="B54" s="30"/>
      <c r="C54" s="30"/>
      <c r="D54" s="30"/>
      <c r="E54" s="30" t="s">
        <v>1</v>
      </c>
      <c r="F54" s="30"/>
      <c r="G54" s="234" t="n">
        <f aca="false">G51-G52</f>
        <v>6268.06166666667</v>
      </c>
      <c r="H54" s="234" t="n">
        <f aca="false">H51-H52</f>
        <v>5412.18956666667</v>
      </c>
      <c r="I54" s="234" t="n">
        <f aca="false">I51-I52</f>
        <v>4556.30002466667</v>
      </c>
      <c r="J54" s="234" t="e">
        <f aca="false">J51-J52</f>
        <v>#REF!</v>
      </c>
      <c r="K54" s="234" t="e">
        <f aca="false">K51-K52</f>
        <v>#REF!</v>
      </c>
      <c r="L54" s="234" t="e">
        <f aca="false">L51-L52</f>
        <v>#REF!</v>
      </c>
      <c r="M54" s="234" t="e">
        <f aca="false">M51-M52</f>
        <v>#REF!</v>
      </c>
      <c r="N54" s="234" t="e">
        <f aca="false">N51-N52</f>
        <v>#REF!</v>
      </c>
      <c r="O54" s="234" t="e">
        <f aca="false">O51-O52</f>
        <v>#REF!</v>
      </c>
      <c r="P54" s="234" t="e">
        <f aca="false">P51-P52</f>
        <v>#REF!</v>
      </c>
      <c r="Q54" s="234" t="e">
        <f aca="false">Q51-Q52</f>
        <v>#REF!</v>
      </c>
      <c r="R54" s="234" t="e">
        <f aca="false">R51-R52</f>
        <v>#REF!</v>
      </c>
      <c r="S54" s="234" t="e">
        <f aca="false">S51-S52</f>
        <v>#REF!</v>
      </c>
      <c r="T54" s="234" t="e">
        <f aca="false">T51-T52</f>
        <v>#REF!</v>
      </c>
      <c r="U54" s="234" t="e">
        <f aca="false">U51-U52</f>
        <v>#REF!</v>
      </c>
      <c r="V54" s="234" t="e">
        <f aca="false">V51-V52</f>
        <v>#REF!</v>
      </c>
      <c r="W54" s="234" t="e">
        <f aca="false">W51-W52</f>
        <v>#REF!</v>
      </c>
      <c r="X54" s="234" t="e">
        <f aca="false">X51-X52</f>
        <v>#REF!</v>
      </c>
      <c r="Y54" s="234" t="e">
        <f aca="false">Y51-Y52</f>
        <v>#REF!</v>
      </c>
      <c r="Z54" s="234" t="e">
        <f aca="false">Z51-Z52</f>
        <v>#REF!</v>
      </c>
      <c r="AA54" s="234" t="e">
        <f aca="false">AA51-AA52</f>
        <v>#REF!</v>
      </c>
      <c r="AB54" s="234" t="e">
        <f aca="false">AB51-AB52</f>
        <v>#REF!</v>
      </c>
      <c r="AC54" s="234" t="e">
        <f aca="false">AC51-AC52</f>
        <v>#REF!</v>
      </c>
      <c r="AD54" s="234" t="e">
        <f aca="false">AD51-AD52</f>
        <v>#REF!</v>
      </c>
      <c r="AE54" s="234" t="e">
        <f aca="false">AE51-AE52</f>
        <v>#REF!</v>
      </c>
      <c r="AF54" s="234" t="e">
        <f aca="false">AF51-AF52</f>
        <v>#REF!</v>
      </c>
      <c r="AG54" s="234" t="e">
        <f aca="false">Y51-Y52-#REF!</f>
        <v>#REF!</v>
      </c>
      <c r="AH54" s="234" t="e">
        <f aca="false">Z51-Z52-#REF!</f>
        <v>#REF!</v>
      </c>
      <c r="AI54" s="234" t="e">
        <f aca="false">AA51-AA52-#REF!</f>
        <v>#REF!</v>
      </c>
      <c r="AJ54" s="234" t="e">
        <f aca="false">AB51-AB52-#REF!</f>
        <v>#REF!</v>
      </c>
      <c r="AK54" s="234" t="e">
        <f aca="false">AC51-AC52-#REF!</f>
        <v>#REF!</v>
      </c>
      <c r="AL54" s="234" t="e">
        <f aca="false">AD51-AD52-#REF!</f>
        <v>#REF!</v>
      </c>
      <c r="AM54" s="234" t="e">
        <f aca="false">AE51-AE52-#REF!</f>
        <v>#REF!</v>
      </c>
      <c r="AN54" s="234" t="e">
        <f aca="false">AF51-AF52-#REF!</f>
        <v>#REF!</v>
      </c>
      <c r="AO54" s="197" t="e">
        <f aca="false">AG51-AG52+#REF!</f>
        <v>#REF!</v>
      </c>
    </row>
    <row r="55" customFormat="false" ht="12.75" hidden="false" customHeight="false" outlineLevel="0" collapsed="false">
      <c r="A55" s="57"/>
      <c r="B55" s="58"/>
      <c r="C55" s="58"/>
      <c r="D55" s="58"/>
      <c r="E55" s="58"/>
      <c r="F55" s="58"/>
      <c r="G55" s="257"/>
      <c r="H55" s="257"/>
      <c r="I55" s="257"/>
      <c r="J55" s="257"/>
      <c r="K55" s="257"/>
      <c r="L55" s="257"/>
      <c r="M55" s="257"/>
      <c r="N55" s="257"/>
      <c r="O55" s="257"/>
      <c r="P55" s="257"/>
      <c r="Q55" s="257"/>
      <c r="R55" s="257"/>
      <c r="S55" s="257"/>
      <c r="T55" s="257"/>
      <c r="U55" s="257"/>
      <c r="V55" s="257"/>
      <c r="W55" s="257"/>
      <c r="X55" s="257"/>
      <c r="Y55" s="257"/>
      <c r="Z55" s="257"/>
      <c r="AA55" s="257"/>
      <c r="AB55" s="257"/>
      <c r="AC55" s="257"/>
      <c r="AD55" s="257"/>
      <c r="AE55" s="257"/>
      <c r="AF55" s="257"/>
      <c r="AG55" s="377"/>
    </row>
    <row r="58" customFormat="false" ht="15.75" hidden="false" customHeight="false" outlineLevel="0" collapsed="false">
      <c r="A58" s="390" t="s">
        <v>405</v>
      </c>
      <c r="B58" s="218"/>
      <c r="C58" s="218"/>
      <c r="D58" s="391"/>
    </row>
    <row r="59" customFormat="false" ht="12.75" hidden="false" customHeight="false" outlineLevel="0" collapsed="false">
      <c r="G59" s="6" t="n">
        <f aca="false">G5</f>
        <v>1</v>
      </c>
      <c r="H59" s="6" t="n">
        <f aca="false">H5</f>
        <v>2</v>
      </c>
      <c r="I59" s="6" t="n">
        <f aca="false">I5</f>
        <v>3</v>
      </c>
      <c r="J59" s="6" t="n">
        <f aca="false">J5</f>
        <v>4</v>
      </c>
      <c r="K59" s="6" t="n">
        <f aca="false">K5</f>
        <v>5</v>
      </c>
      <c r="L59" s="6" t="n">
        <f aca="false">L5</f>
        <v>6</v>
      </c>
      <c r="M59" s="6" t="n">
        <f aca="false">M5</f>
        <v>7</v>
      </c>
      <c r="N59" s="6" t="n">
        <f aca="false">N5</f>
        <v>8</v>
      </c>
      <c r="O59" s="6" t="n">
        <f aca="false">O5</f>
        <v>9</v>
      </c>
      <c r="P59" s="6" t="n">
        <f aca="false">P5</f>
        <v>10</v>
      </c>
      <c r="Q59" s="6" t="n">
        <f aca="false">Q5</f>
        <v>11</v>
      </c>
      <c r="R59" s="6" t="n">
        <f aca="false">R5</f>
        <v>12</v>
      </c>
      <c r="S59" s="6" t="n">
        <f aca="false">S5</f>
        <v>13</v>
      </c>
      <c r="T59" s="6" t="n">
        <f aca="false">T5</f>
        <v>14</v>
      </c>
      <c r="U59" s="6" t="n">
        <f aca="false">U5</f>
        <v>15</v>
      </c>
      <c r="V59" s="6" t="n">
        <f aca="false">V5</f>
        <v>16</v>
      </c>
      <c r="W59" s="6" t="n">
        <f aca="false">W5</f>
        <v>17</v>
      </c>
      <c r="X59" s="6" t="n">
        <f aca="false">X5</f>
        <v>18</v>
      </c>
      <c r="Y59" s="6" t="n">
        <f aca="false">Y5</f>
        <v>19</v>
      </c>
      <c r="Z59" s="6" t="n">
        <f aca="false">Z5</f>
        <v>20</v>
      </c>
      <c r="AA59" s="6" t="n">
        <f aca="false">AA5</f>
        <v>21</v>
      </c>
      <c r="AB59" s="6" t="n">
        <f aca="false">AB5</f>
        <v>22</v>
      </c>
      <c r="AC59" s="6" t="n">
        <f aca="false">AC5</f>
        <v>23</v>
      </c>
      <c r="AD59" s="6" t="n">
        <f aca="false">AD5</f>
        <v>24</v>
      </c>
      <c r="AE59" s="6" t="n">
        <f aca="false">AE5</f>
        <v>25</v>
      </c>
      <c r="AF59" s="6" t="n">
        <f aca="false">AF5</f>
        <v>26</v>
      </c>
      <c r="AG59" s="187"/>
    </row>
    <row r="60" customFormat="false" ht="12.75" hidden="false" customHeight="false" outlineLevel="0" collapsed="false">
      <c r="G60" s="6" t="n">
        <f aca="false">G6</f>
        <v>2001</v>
      </c>
      <c r="H60" s="6" t="n">
        <f aca="false">H6</f>
        <v>2002</v>
      </c>
      <c r="I60" s="6" t="n">
        <f aca="false">I6</f>
        <v>2003</v>
      </c>
      <c r="J60" s="6" t="n">
        <f aca="false">J6</f>
        <v>2004</v>
      </c>
      <c r="K60" s="6" t="n">
        <f aca="false">K6</f>
        <v>2005</v>
      </c>
      <c r="L60" s="6" t="n">
        <f aca="false">L6</f>
        <v>2006</v>
      </c>
      <c r="M60" s="6" t="n">
        <f aca="false">M6</f>
        <v>2007</v>
      </c>
      <c r="N60" s="6" t="n">
        <f aca="false">N6</f>
        <v>2008</v>
      </c>
      <c r="O60" s="6" t="n">
        <f aca="false">O6</f>
        <v>2009</v>
      </c>
      <c r="P60" s="6" t="n">
        <f aca="false">P6</f>
        <v>2010</v>
      </c>
      <c r="Q60" s="6" t="n">
        <f aca="false">Q6</f>
        <v>2011</v>
      </c>
      <c r="R60" s="6" t="n">
        <f aca="false">R6</f>
        <v>2012</v>
      </c>
      <c r="S60" s="6" t="n">
        <f aca="false">S6</f>
        <v>2013</v>
      </c>
      <c r="T60" s="6" t="n">
        <f aca="false">T6</f>
        <v>2014</v>
      </c>
      <c r="U60" s="6" t="n">
        <f aca="false">U6</f>
        <v>2015</v>
      </c>
      <c r="V60" s="6" t="n">
        <f aca="false">V6</f>
        <v>2016</v>
      </c>
      <c r="W60" s="6" t="n">
        <f aca="false">W6</f>
        <v>2017</v>
      </c>
      <c r="X60" s="6" t="n">
        <f aca="false">X6</f>
        <v>2018</v>
      </c>
      <c r="Y60" s="6" t="n">
        <f aca="false">Y6</f>
        <v>2019</v>
      </c>
      <c r="Z60" s="6" t="n">
        <f aca="false">Z6</f>
        <v>2020</v>
      </c>
      <c r="AA60" s="6" t="n">
        <f aca="false">AA6</f>
        <v>2021</v>
      </c>
      <c r="AB60" s="6" t="n">
        <f aca="false">AB6</f>
        <v>2022</v>
      </c>
      <c r="AC60" s="6" t="n">
        <f aca="false">AC6</f>
        <v>2023</v>
      </c>
      <c r="AD60" s="6" t="n">
        <f aca="false">AD6</f>
        <v>2024</v>
      </c>
      <c r="AE60" s="6" t="n">
        <f aca="false">AE6</f>
        <v>2025</v>
      </c>
      <c r="AF60" s="6" t="n">
        <f aca="false">AF6</f>
        <v>2026</v>
      </c>
      <c r="AG60" s="392" t="s">
        <v>196</v>
      </c>
    </row>
    <row r="61" customFormat="false" ht="12.75" hidden="false" customHeight="false" outlineLevel="0" collapsed="false">
      <c r="A61" s="18" t="s">
        <v>406</v>
      </c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87"/>
    </row>
    <row r="62" customFormat="false" ht="12.75" hidden="false" customHeight="false" outlineLevel="0" collapsed="false">
      <c r="A62" s="29"/>
      <c r="B62" s="30" t="s">
        <v>407</v>
      </c>
      <c r="C62" s="30"/>
      <c r="D62" s="30"/>
      <c r="E62" s="30"/>
      <c r="F62" s="196"/>
      <c r="G62" s="196" t="n">
        <f aca="false">CF!D20</f>
        <v>7100</v>
      </c>
      <c r="H62" s="196" t="n">
        <f aca="false">CF!E20</f>
        <v>6200</v>
      </c>
      <c r="I62" s="196" t="n">
        <f aca="false">CF!F20</f>
        <v>5300</v>
      </c>
      <c r="J62" s="196" t="e">
        <f aca="false">#REF!</f>
        <v>#REF!</v>
      </c>
      <c r="K62" s="196" t="e">
        <f aca="false">#REF!</f>
        <v>#REF!</v>
      </c>
      <c r="L62" s="196" t="e">
        <f aca="false">#REF!</f>
        <v>#REF!</v>
      </c>
      <c r="M62" s="196" t="e">
        <f aca="false">#REF!</f>
        <v>#REF!</v>
      </c>
      <c r="N62" s="196" t="e">
        <f aca="false">#REF!</f>
        <v>#REF!</v>
      </c>
      <c r="O62" s="196" t="e">
        <f aca="false">#REF!</f>
        <v>#REF!</v>
      </c>
      <c r="P62" s="196" t="e">
        <f aca="false">#REF!</f>
        <v>#REF!</v>
      </c>
      <c r="Q62" s="196" t="e">
        <f aca="false">#REF!</f>
        <v>#REF!</v>
      </c>
      <c r="R62" s="196" t="e">
        <f aca="false">#REF!</f>
        <v>#REF!</v>
      </c>
      <c r="S62" s="196" t="e">
        <f aca="false">#REF!</f>
        <v>#REF!</v>
      </c>
      <c r="T62" s="196" t="e">
        <f aca="false">#REF!</f>
        <v>#REF!</v>
      </c>
      <c r="U62" s="196" t="e">
        <f aca="false">#REF!</f>
        <v>#REF!</v>
      </c>
      <c r="V62" s="196" t="e">
        <f aca="false">#REF!</f>
        <v>#REF!</v>
      </c>
      <c r="W62" s="196" t="e">
        <f aca="false">#REF!</f>
        <v>#REF!</v>
      </c>
      <c r="X62" s="196" t="e">
        <f aca="false">#REF!</f>
        <v>#REF!</v>
      </c>
      <c r="Y62" s="196" t="e">
        <f aca="false">#REF!</f>
        <v>#REF!</v>
      </c>
      <c r="Z62" s="196" t="e">
        <f aca="false">#REF!</f>
        <v>#REF!</v>
      </c>
      <c r="AA62" s="196" t="e">
        <f aca="false">#REF!</f>
        <v>#REF!</v>
      </c>
      <c r="AB62" s="196" t="e">
        <f aca="false">#REF!</f>
        <v>#REF!</v>
      </c>
      <c r="AC62" s="196" t="e">
        <f aca="false">#REF!</f>
        <v>#REF!</v>
      </c>
      <c r="AD62" s="196" t="e">
        <f aca="false">#REF!</f>
        <v>#REF!</v>
      </c>
      <c r="AE62" s="196" t="e">
        <f aca="false">#REF!</f>
        <v>#REF!</v>
      </c>
      <c r="AF62" s="196" t="e">
        <f aca="false">#REF!</f>
        <v>#REF!</v>
      </c>
      <c r="AG62" s="197" t="e">
        <f aca="false">SUM(G62:AF62)</f>
        <v>#REF!</v>
      </c>
    </row>
    <row r="63" customFormat="false" ht="12.75" hidden="false" customHeight="false" outlineLevel="0" collapsed="false">
      <c r="A63" s="29"/>
      <c r="B63" s="30" t="s">
        <v>408</v>
      </c>
      <c r="C63" s="30"/>
      <c r="D63" s="30"/>
      <c r="E63" s="30"/>
      <c r="F63" s="30"/>
      <c r="G63" s="196" t="n">
        <f aca="false">-CF!D49</f>
        <v>-45.9</v>
      </c>
      <c r="H63" s="196" t="n">
        <f aca="false">-CF!E49</f>
        <v>-46.818</v>
      </c>
      <c r="I63" s="196" t="n">
        <f aca="false">-CF!F49</f>
        <v>-47.75436</v>
      </c>
      <c r="J63" s="196" t="e">
        <f aca="false">-#REF!</f>
        <v>#REF!</v>
      </c>
      <c r="K63" s="196" t="e">
        <f aca="false">-#REF!</f>
        <v>#REF!</v>
      </c>
      <c r="L63" s="196" t="e">
        <f aca="false">-#REF!</f>
        <v>#REF!</v>
      </c>
      <c r="M63" s="196" t="e">
        <f aca="false">-#REF!</f>
        <v>#REF!</v>
      </c>
      <c r="N63" s="196" t="e">
        <f aca="false">-#REF!</f>
        <v>#REF!</v>
      </c>
      <c r="O63" s="196" t="e">
        <f aca="false">-#REF!</f>
        <v>#REF!</v>
      </c>
      <c r="P63" s="196" t="e">
        <f aca="false">-#REF!</f>
        <v>#REF!</v>
      </c>
      <c r="Q63" s="196" t="e">
        <f aca="false">-#REF!</f>
        <v>#REF!</v>
      </c>
      <c r="R63" s="196" t="e">
        <f aca="false">-#REF!</f>
        <v>#REF!</v>
      </c>
      <c r="S63" s="196" t="e">
        <f aca="false">-#REF!</f>
        <v>#REF!</v>
      </c>
      <c r="T63" s="196" t="e">
        <f aca="false">-#REF!</f>
        <v>#REF!</v>
      </c>
      <c r="U63" s="196" t="e">
        <f aca="false">-#REF!</f>
        <v>#REF!</v>
      </c>
      <c r="V63" s="196" t="e">
        <f aca="false">-#REF!</f>
        <v>#REF!</v>
      </c>
      <c r="W63" s="196" t="e">
        <f aca="false">-#REF!</f>
        <v>#REF!</v>
      </c>
      <c r="X63" s="196" t="e">
        <f aca="false">-#REF!</f>
        <v>#REF!</v>
      </c>
      <c r="Y63" s="196" t="e">
        <f aca="false">-#REF!</f>
        <v>#REF!</v>
      </c>
      <c r="Z63" s="196" t="e">
        <f aca="false">-#REF!</f>
        <v>#REF!</v>
      </c>
      <c r="AA63" s="196" t="e">
        <f aca="false">-#REF!</f>
        <v>#REF!</v>
      </c>
      <c r="AB63" s="196" t="e">
        <f aca="false">-#REF!</f>
        <v>#REF!</v>
      </c>
      <c r="AC63" s="196" t="e">
        <f aca="false">-#REF!</f>
        <v>#REF!</v>
      </c>
      <c r="AD63" s="196" t="e">
        <f aca="false">-#REF!</f>
        <v>#REF!</v>
      </c>
      <c r="AE63" s="196" t="e">
        <f aca="false">-#REF!</f>
        <v>#REF!</v>
      </c>
      <c r="AF63" s="196" t="e">
        <f aca="false">-#REF!</f>
        <v>#REF!</v>
      </c>
      <c r="AG63" s="197" t="e">
        <f aca="false">SUM(G63:AF63)</f>
        <v>#REF!</v>
      </c>
    </row>
    <row r="64" customFormat="false" ht="12.75" hidden="false" customHeight="false" outlineLevel="0" collapsed="false">
      <c r="A64" s="29"/>
      <c r="B64" s="30" t="s">
        <v>409</v>
      </c>
      <c r="C64" s="30"/>
      <c r="D64" s="30"/>
      <c r="E64" s="30"/>
      <c r="F64" s="30"/>
      <c r="G64" s="196" t="n">
        <f aca="false">CF!D62</f>
        <v>0</v>
      </c>
      <c r="H64" s="196" t="n">
        <f aca="false">CF!E62</f>
        <v>0</v>
      </c>
      <c r="I64" s="196" t="n">
        <f aca="false">CF!F62</f>
        <v>0</v>
      </c>
      <c r="J64" s="196" t="e">
        <f aca="false">#REF!</f>
        <v>#REF!</v>
      </c>
      <c r="K64" s="196" t="e">
        <f aca="false">#REF!</f>
        <v>#REF!</v>
      </c>
      <c r="L64" s="196" t="e">
        <f aca="false">#REF!</f>
        <v>#REF!</v>
      </c>
      <c r="M64" s="196" t="e">
        <f aca="false">#REF!</f>
        <v>#REF!</v>
      </c>
      <c r="N64" s="196" t="e">
        <f aca="false">#REF!</f>
        <v>#REF!</v>
      </c>
      <c r="O64" s="196" t="e">
        <f aca="false">#REF!</f>
        <v>#REF!</v>
      </c>
      <c r="P64" s="196" t="e">
        <f aca="false">#REF!</f>
        <v>#REF!</v>
      </c>
      <c r="Q64" s="196" t="e">
        <f aca="false">#REF!</f>
        <v>#REF!</v>
      </c>
      <c r="R64" s="196" t="e">
        <f aca="false">#REF!</f>
        <v>#REF!</v>
      </c>
      <c r="S64" s="196" t="e">
        <f aca="false">#REF!</f>
        <v>#REF!</v>
      </c>
      <c r="T64" s="196" t="e">
        <f aca="false">#REF!</f>
        <v>#REF!</v>
      </c>
      <c r="U64" s="196" t="e">
        <f aca="false">#REF!</f>
        <v>#REF!</v>
      </c>
      <c r="V64" s="196" t="e">
        <f aca="false">#REF!</f>
        <v>#REF!</v>
      </c>
      <c r="W64" s="196" t="e">
        <f aca="false">#REF!</f>
        <v>#REF!</v>
      </c>
      <c r="X64" s="196" t="e">
        <f aca="false">#REF!</f>
        <v>#REF!</v>
      </c>
      <c r="Y64" s="196" t="e">
        <f aca="false">#REF!</f>
        <v>#REF!</v>
      </c>
      <c r="Z64" s="196" t="e">
        <f aca="false">#REF!</f>
        <v>#REF!</v>
      </c>
      <c r="AA64" s="196" t="e">
        <f aca="false">#REF!</f>
        <v>#REF!</v>
      </c>
      <c r="AB64" s="196" t="e">
        <f aca="false">#REF!</f>
        <v>#REF!</v>
      </c>
      <c r="AC64" s="196" t="e">
        <f aca="false">#REF!</f>
        <v>#REF!</v>
      </c>
      <c r="AD64" s="196" t="e">
        <f aca="false">#REF!</f>
        <v>#REF!</v>
      </c>
      <c r="AE64" s="196" t="e">
        <f aca="false">#REF!</f>
        <v>#REF!</v>
      </c>
      <c r="AF64" s="196" t="e">
        <f aca="false">#REF!</f>
        <v>#REF!</v>
      </c>
      <c r="AG64" s="197" t="e">
        <f aca="false">SUM(G64:AF64)</f>
        <v>#REF!</v>
      </c>
    </row>
    <row r="65" customFormat="false" ht="12.75" hidden="false" customHeight="false" outlineLevel="0" collapsed="false">
      <c r="A65" s="29"/>
      <c r="B65" s="30" t="s">
        <v>410</v>
      </c>
      <c r="C65" s="30"/>
      <c r="D65" s="30"/>
      <c r="E65" s="30"/>
      <c r="F65" s="30"/>
      <c r="G65" s="196" t="n">
        <f aca="false">CF!D65+CF!D66</f>
        <v>0</v>
      </c>
      <c r="H65" s="196" t="n">
        <f aca="false">CF!E65+CF!E66</f>
        <v>0</v>
      </c>
      <c r="I65" s="196" t="n">
        <f aca="false">CF!F65+CF!F66</f>
        <v>0</v>
      </c>
      <c r="J65" s="196" t="e">
        <f aca="false">#REF!+#REF!</f>
        <v>#REF!</v>
      </c>
      <c r="K65" s="196" t="e">
        <f aca="false">#REF!+#REF!</f>
        <v>#REF!</v>
      </c>
      <c r="L65" s="196" t="e">
        <f aca="false">#REF!+#REF!</f>
        <v>#REF!</v>
      </c>
      <c r="M65" s="196" t="e">
        <f aca="false">#REF!+#REF!</f>
        <v>#REF!</v>
      </c>
      <c r="N65" s="196" t="e">
        <f aca="false">#REF!+#REF!</f>
        <v>#REF!</v>
      </c>
      <c r="O65" s="196" t="e">
        <f aca="false">#REF!+#REF!</f>
        <v>#REF!</v>
      </c>
      <c r="P65" s="196" t="e">
        <f aca="false">#REF!+#REF!</f>
        <v>#REF!</v>
      </c>
      <c r="Q65" s="196" t="e">
        <f aca="false">#REF!+#REF!</f>
        <v>#REF!</v>
      </c>
      <c r="R65" s="196" t="e">
        <f aca="false">#REF!+#REF!</f>
        <v>#REF!</v>
      </c>
      <c r="S65" s="196" t="e">
        <f aca="false">#REF!+#REF!</f>
        <v>#REF!</v>
      </c>
      <c r="T65" s="196" t="e">
        <f aca="false">#REF!+#REF!</f>
        <v>#REF!</v>
      </c>
      <c r="U65" s="196" t="e">
        <f aca="false">#REF!+#REF!</f>
        <v>#REF!</v>
      </c>
      <c r="V65" s="196" t="e">
        <f aca="false">#REF!+#REF!</f>
        <v>#REF!</v>
      </c>
      <c r="W65" s="196" t="e">
        <f aca="false">#REF!+#REF!</f>
        <v>#REF!</v>
      </c>
      <c r="X65" s="196" t="e">
        <f aca="false">#REF!+#REF!</f>
        <v>#REF!</v>
      </c>
      <c r="Y65" s="196" t="e">
        <f aca="false">#REF!+#REF!</f>
        <v>#REF!</v>
      </c>
      <c r="Z65" s="196" t="e">
        <f aca="false">#REF!+#REF!</f>
        <v>#REF!</v>
      </c>
      <c r="AA65" s="196" t="e">
        <f aca="false">#REF!+#REF!</f>
        <v>#REF!</v>
      </c>
      <c r="AB65" s="196" t="e">
        <f aca="false">#REF!+#REF!</f>
        <v>#REF!</v>
      </c>
      <c r="AC65" s="196" t="e">
        <f aca="false">#REF!+#REF!</f>
        <v>#REF!</v>
      </c>
      <c r="AD65" s="196" t="e">
        <f aca="false">#REF!+#REF!</f>
        <v>#REF!</v>
      </c>
      <c r="AE65" s="196" t="e">
        <f aca="false">#REF!+#REF!</f>
        <v>#REF!</v>
      </c>
      <c r="AF65" s="196" t="e">
        <f aca="false">#REF!+#REF!</f>
        <v>#REF!</v>
      </c>
      <c r="AG65" s="197"/>
    </row>
    <row r="66" customFormat="false" ht="12.75" hidden="false" customHeight="false" outlineLevel="0" collapsed="false">
      <c r="A66" s="29"/>
      <c r="B66" s="30" t="s">
        <v>411</v>
      </c>
      <c r="C66" s="30"/>
      <c r="D66" s="30"/>
      <c r="E66" s="30"/>
      <c r="F66" s="30"/>
      <c r="G66" s="196" t="n">
        <f aca="false">-FIN!D10</f>
        <v>-0</v>
      </c>
      <c r="H66" s="196" t="n">
        <f aca="false">-FIN!E10</f>
        <v>-0</v>
      </c>
      <c r="I66" s="196" t="n">
        <f aca="false">-FIN!F10</f>
        <v>-0</v>
      </c>
      <c r="J66" s="196" t="n">
        <f aca="false">-FIN!G10</f>
        <v>-0</v>
      </c>
      <c r="K66" s="196" t="n">
        <f aca="false">-FIN!H10</f>
        <v>-0</v>
      </c>
      <c r="L66" s="196" t="n">
        <f aca="false">-FIN!I10</f>
        <v>-0</v>
      </c>
      <c r="M66" s="196" t="n">
        <f aca="false">-FIN!J10</f>
        <v>-0</v>
      </c>
      <c r="N66" s="196" t="n">
        <f aca="false">-FIN!K10</f>
        <v>-0</v>
      </c>
      <c r="O66" s="196" t="n">
        <f aca="false">-FIN!L10</f>
        <v>-0</v>
      </c>
      <c r="P66" s="196" t="n">
        <f aca="false">-FIN!M10</f>
        <v>-0</v>
      </c>
      <c r="Q66" s="196" t="n">
        <f aca="false">-FIN!N10</f>
        <v>-0</v>
      </c>
      <c r="R66" s="196" t="n">
        <f aca="false">-FIN!O10</f>
        <v>-0</v>
      </c>
      <c r="S66" s="196" t="n">
        <f aca="false">-FIN!P10</f>
        <v>-0</v>
      </c>
      <c r="T66" s="196" t="n">
        <f aca="false">-FIN!Q10</f>
        <v>-0</v>
      </c>
      <c r="U66" s="196" t="n">
        <f aca="false">-FIN!R10</f>
        <v>-0</v>
      </c>
      <c r="V66" s="196" t="n">
        <f aca="false">-FIN!S10</f>
        <v>-0</v>
      </c>
      <c r="W66" s="196" t="n">
        <f aca="false">-FIN!T10</f>
        <v>-0</v>
      </c>
      <c r="X66" s="196" t="n">
        <f aca="false">-FIN!U10</f>
        <v>-0</v>
      </c>
      <c r="Y66" s="196" t="n">
        <f aca="false">-FIN!V10</f>
        <v>-0</v>
      </c>
      <c r="Z66" s="196" t="n">
        <f aca="false">-FIN!W10</f>
        <v>-0</v>
      </c>
      <c r="AA66" s="196" t="n">
        <f aca="false">-FIN!X10</f>
        <v>-0</v>
      </c>
      <c r="AB66" s="196" t="n">
        <f aca="false">-FIN!Y10</f>
        <v>-0</v>
      </c>
      <c r="AC66" s="196" t="n">
        <f aca="false">-FIN!Z10</f>
        <v>-0</v>
      </c>
      <c r="AD66" s="196" t="n">
        <f aca="false">-FIN!AA10</f>
        <v>-0</v>
      </c>
      <c r="AE66" s="196" t="n">
        <f aca="false">-FIN!AB10</f>
        <v>-0</v>
      </c>
      <c r="AF66" s="196" t="n">
        <f aca="false">-FIN!AC10</f>
        <v>-0</v>
      </c>
      <c r="AG66" s="197" t="n">
        <f aca="false">SUM(G66:AF66)</f>
        <v>0</v>
      </c>
    </row>
    <row r="67" customFormat="false" ht="12.75" hidden="false" customHeight="false" outlineLevel="0" collapsed="false">
      <c r="A67" s="29"/>
      <c r="B67" s="30" t="s">
        <v>412</v>
      </c>
      <c r="C67" s="30"/>
      <c r="D67" s="30"/>
      <c r="E67" s="30"/>
      <c r="F67" s="30"/>
      <c r="G67" s="203" t="n">
        <f aca="false">CF!D67</f>
        <v>0</v>
      </c>
      <c r="H67" s="203" t="n">
        <f aca="false">CF!E67</f>
        <v>0</v>
      </c>
      <c r="I67" s="203" t="n">
        <f aca="false">CF!F67</f>
        <v>0</v>
      </c>
      <c r="J67" s="203" t="e">
        <f aca="false">#REF!</f>
        <v>#REF!</v>
      </c>
      <c r="K67" s="203" t="e">
        <f aca="false">#REF!</f>
        <v>#REF!</v>
      </c>
      <c r="L67" s="203" t="e">
        <f aca="false">#REF!</f>
        <v>#REF!</v>
      </c>
      <c r="M67" s="203" t="e">
        <f aca="false">#REF!</f>
        <v>#REF!</v>
      </c>
      <c r="N67" s="203" t="e">
        <f aca="false">#REF!</f>
        <v>#REF!</v>
      </c>
      <c r="O67" s="203" t="e">
        <f aca="false">#REF!</f>
        <v>#REF!</v>
      </c>
      <c r="P67" s="203" t="e">
        <f aca="false">#REF!</f>
        <v>#REF!</v>
      </c>
      <c r="Q67" s="203" t="e">
        <f aca="false">#REF!</f>
        <v>#REF!</v>
      </c>
      <c r="R67" s="203" t="e">
        <f aca="false">#REF!</f>
        <v>#REF!</v>
      </c>
      <c r="S67" s="203" t="e">
        <f aca="false">#REF!</f>
        <v>#REF!</v>
      </c>
      <c r="T67" s="203" t="e">
        <f aca="false">#REF!</f>
        <v>#REF!</v>
      </c>
      <c r="U67" s="203" t="e">
        <f aca="false">#REF!</f>
        <v>#REF!</v>
      </c>
      <c r="V67" s="203" t="e">
        <f aca="false">#REF!</f>
        <v>#REF!</v>
      </c>
      <c r="W67" s="203" t="e">
        <f aca="false">#REF!</f>
        <v>#REF!</v>
      </c>
      <c r="X67" s="203" t="e">
        <f aca="false">#REF!</f>
        <v>#REF!</v>
      </c>
      <c r="Y67" s="203" t="e">
        <f aca="false">#REF!</f>
        <v>#REF!</v>
      </c>
      <c r="Z67" s="203" t="e">
        <f aca="false">#REF!</f>
        <v>#REF!</v>
      </c>
      <c r="AA67" s="203" t="e">
        <f aca="false">#REF!</f>
        <v>#REF!</v>
      </c>
      <c r="AB67" s="203" t="e">
        <f aca="false">#REF!</f>
        <v>#REF!</v>
      </c>
      <c r="AC67" s="203" t="e">
        <f aca="false">#REF!</f>
        <v>#REF!</v>
      </c>
      <c r="AD67" s="203" t="e">
        <f aca="false">#REF!</f>
        <v>#REF!</v>
      </c>
      <c r="AE67" s="203" t="e">
        <f aca="false">#REF!</f>
        <v>#REF!</v>
      </c>
      <c r="AF67" s="203" t="e">
        <f aca="false">#REF!</f>
        <v>#REF!</v>
      </c>
      <c r="AG67" s="395" t="e">
        <f aca="false">SUM(G67:AF67)</f>
        <v>#REF!</v>
      </c>
    </row>
    <row r="68" customFormat="false" ht="12.75" hidden="false" customHeight="false" outlineLevel="0" collapsed="false">
      <c r="A68" s="29"/>
      <c r="B68" s="30"/>
      <c r="C68" s="30" t="s">
        <v>413</v>
      </c>
      <c r="D68" s="30"/>
      <c r="E68" s="30"/>
      <c r="F68" s="30"/>
      <c r="G68" s="196" t="n">
        <f aca="false">SUM(G62:G67)</f>
        <v>7054.1</v>
      </c>
      <c r="H68" s="196" t="n">
        <f aca="false">SUM(H62:H67)</f>
        <v>6153.182</v>
      </c>
      <c r="I68" s="196" t="n">
        <f aca="false">SUM(I62:I67)</f>
        <v>5252.24564</v>
      </c>
      <c r="J68" s="196" t="e">
        <f aca="false">SUM(J62:J67)</f>
        <v>#REF!</v>
      </c>
      <c r="K68" s="196" t="e">
        <f aca="false">SUM(K62:K67)</f>
        <v>#REF!</v>
      </c>
      <c r="L68" s="196" t="e">
        <f aca="false">SUM(L62:L67)</f>
        <v>#REF!</v>
      </c>
      <c r="M68" s="196" t="e">
        <f aca="false">SUM(M62:M67)</f>
        <v>#REF!</v>
      </c>
      <c r="N68" s="196" t="e">
        <f aca="false">SUM(N62:N67)</f>
        <v>#REF!</v>
      </c>
      <c r="O68" s="196" t="e">
        <f aca="false">SUM(O62:O67)</f>
        <v>#REF!</v>
      </c>
      <c r="P68" s="196" t="e">
        <f aca="false">SUM(P62:P67)</f>
        <v>#REF!</v>
      </c>
      <c r="Q68" s="196" t="e">
        <f aca="false">SUM(Q62:Q67)</f>
        <v>#REF!</v>
      </c>
      <c r="R68" s="196" t="e">
        <f aca="false">SUM(R62:R67)</f>
        <v>#REF!</v>
      </c>
      <c r="S68" s="196" t="e">
        <f aca="false">SUM(S62:S67)</f>
        <v>#REF!</v>
      </c>
      <c r="T68" s="196" t="e">
        <f aca="false">SUM(T62:T67)</f>
        <v>#REF!</v>
      </c>
      <c r="U68" s="196" t="e">
        <f aca="false">SUM(U62:U67)</f>
        <v>#REF!</v>
      </c>
      <c r="V68" s="196" t="e">
        <f aca="false">SUM(V62:V67)</f>
        <v>#REF!</v>
      </c>
      <c r="W68" s="196" t="e">
        <f aca="false">SUM(W62:W67)</f>
        <v>#REF!</v>
      </c>
      <c r="X68" s="196" t="e">
        <f aca="false">SUM(X62:X67)</f>
        <v>#REF!</v>
      </c>
      <c r="Y68" s="196" t="e">
        <f aca="false">SUM(Y62:Y67)</f>
        <v>#REF!</v>
      </c>
      <c r="Z68" s="196" t="e">
        <f aca="false">SUM(Z62:Z67)</f>
        <v>#REF!</v>
      </c>
      <c r="AA68" s="196" t="e">
        <f aca="false">SUM(AA62:AA67)</f>
        <v>#REF!</v>
      </c>
      <c r="AB68" s="196" t="e">
        <f aca="false">SUM(AB62:AB67)</f>
        <v>#REF!</v>
      </c>
      <c r="AC68" s="196" t="e">
        <f aca="false">SUM(AC62:AC67)</f>
        <v>#REF!</v>
      </c>
      <c r="AD68" s="196" t="e">
        <f aca="false">SUM(AD62:AD67)</f>
        <v>#REF!</v>
      </c>
      <c r="AE68" s="196" t="e">
        <f aca="false">SUM(AE62:AE67)</f>
        <v>#REF!</v>
      </c>
      <c r="AF68" s="196" t="e">
        <f aca="false">SUM(AF62:AF67)</f>
        <v>#REF!</v>
      </c>
      <c r="AG68" s="197" t="e">
        <f aca="false">SUM(G68:AF68)</f>
        <v>#REF!</v>
      </c>
    </row>
    <row r="69" customFormat="false" ht="12.75" hidden="false" customHeight="false" outlineLevel="0" collapsed="false">
      <c r="A69" s="29"/>
      <c r="B69" s="30"/>
      <c r="C69" s="30"/>
      <c r="D69" s="30"/>
      <c r="E69" s="30"/>
      <c r="F69" s="30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96"/>
      <c r="S69" s="196"/>
      <c r="T69" s="196"/>
      <c r="U69" s="196"/>
      <c r="V69" s="196"/>
      <c r="W69" s="196"/>
      <c r="X69" s="196"/>
      <c r="Y69" s="196"/>
      <c r="Z69" s="196"/>
      <c r="AA69" s="196"/>
      <c r="AB69" s="196"/>
      <c r="AC69" s="196"/>
      <c r="AD69" s="196"/>
      <c r="AE69" s="196"/>
      <c r="AF69" s="196"/>
      <c r="AG69" s="197"/>
    </row>
    <row r="70" customFormat="false" ht="12.75" hidden="false" customHeight="false" outlineLevel="0" collapsed="false">
      <c r="A70" s="29" t="s">
        <v>414</v>
      </c>
      <c r="B70" s="30"/>
      <c r="C70" s="30"/>
      <c r="D70" s="30"/>
      <c r="E70" s="30"/>
      <c r="F70" s="30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7"/>
    </row>
    <row r="71" customFormat="false" ht="12.75" hidden="false" customHeight="false" outlineLevel="0" collapsed="false">
      <c r="A71" s="29"/>
      <c r="B71" s="30" t="s">
        <v>415</v>
      </c>
      <c r="C71" s="30"/>
      <c r="D71" s="30"/>
      <c r="E71" s="30"/>
      <c r="F71" s="30"/>
      <c r="G71" s="196" t="n">
        <f aca="false">-FIN!D11</f>
        <v>-0</v>
      </c>
      <c r="H71" s="196" t="n">
        <f aca="false">-FIN!E11</f>
        <v>-0</v>
      </c>
      <c r="I71" s="196" t="n">
        <f aca="false">-FIN!F11</f>
        <v>-0</v>
      </c>
      <c r="J71" s="196" t="n">
        <f aca="false">-FIN!G11</f>
        <v>-0</v>
      </c>
      <c r="K71" s="196" t="n">
        <f aca="false">-FIN!H11</f>
        <v>-0</v>
      </c>
      <c r="L71" s="196" t="n">
        <f aca="false">-FIN!I11</f>
        <v>-0</v>
      </c>
      <c r="M71" s="196" t="n">
        <f aca="false">-FIN!J11</f>
        <v>-0</v>
      </c>
      <c r="N71" s="196" t="n">
        <f aca="false">-FIN!K11</f>
        <v>-0</v>
      </c>
      <c r="O71" s="196" t="n">
        <f aca="false">-FIN!L11</f>
        <v>-0</v>
      </c>
      <c r="P71" s="196" t="n">
        <f aca="false">-FIN!M11</f>
        <v>-0</v>
      </c>
      <c r="Q71" s="196" t="n">
        <f aca="false">-FIN!N11</f>
        <v>-0</v>
      </c>
      <c r="R71" s="196" t="n">
        <f aca="false">-FIN!O11</f>
        <v>-0</v>
      </c>
      <c r="S71" s="196" t="n">
        <f aca="false">-FIN!P11</f>
        <v>-0</v>
      </c>
      <c r="T71" s="196" t="n">
        <f aca="false">-FIN!Q11</f>
        <v>-0</v>
      </c>
      <c r="U71" s="196" t="n">
        <f aca="false">-FIN!R11</f>
        <v>-0</v>
      </c>
      <c r="V71" s="196" t="n">
        <f aca="false">-FIN!S11</f>
        <v>-0</v>
      </c>
      <c r="W71" s="196" t="n">
        <f aca="false">-FIN!T11</f>
        <v>-0</v>
      </c>
      <c r="X71" s="196" t="n">
        <f aca="false">-FIN!U11</f>
        <v>-0</v>
      </c>
      <c r="Y71" s="196" t="n">
        <f aca="false">-FIN!V11</f>
        <v>-0</v>
      </c>
      <c r="Z71" s="196" t="n">
        <f aca="false">-FIN!W11</f>
        <v>-0</v>
      </c>
      <c r="AA71" s="196" t="n">
        <f aca="false">-FIN!X11</f>
        <v>-0</v>
      </c>
      <c r="AB71" s="196" t="n">
        <f aca="false">-FIN!Y11</f>
        <v>-0</v>
      </c>
      <c r="AC71" s="196" t="n">
        <f aca="false">-FIN!Z11</f>
        <v>-0</v>
      </c>
      <c r="AD71" s="196" t="n">
        <f aca="false">-FIN!AA11</f>
        <v>-0</v>
      </c>
      <c r="AE71" s="196" t="n">
        <f aca="false">-FIN!AB11</f>
        <v>-0</v>
      </c>
      <c r="AF71" s="196" t="n">
        <f aca="false">-FIN!AC11</f>
        <v>-0</v>
      </c>
      <c r="AG71" s="197" t="n">
        <f aca="false">SUM(G71:AA71)</f>
        <v>0</v>
      </c>
    </row>
    <row r="72" customFormat="false" ht="12.75" hidden="false" customHeight="false" outlineLevel="0" collapsed="false">
      <c r="A72" s="29"/>
      <c r="B72" s="30" t="s">
        <v>416</v>
      </c>
      <c r="C72" s="30"/>
      <c r="D72" s="30"/>
      <c r="E72" s="30"/>
      <c r="F72" s="30"/>
      <c r="G72" s="196" t="n">
        <f aca="false">COST*DEBTPERC</f>
        <v>0</v>
      </c>
      <c r="H72" s="196" t="n">
        <v>0</v>
      </c>
      <c r="I72" s="196" t="n">
        <v>0</v>
      </c>
      <c r="J72" s="196" t="n">
        <v>0</v>
      </c>
      <c r="K72" s="196" t="n">
        <v>0</v>
      </c>
      <c r="L72" s="196" t="n">
        <v>0</v>
      </c>
      <c r="M72" s="196" t="n">
        <v>0</v>
      </c>
      <c r="N72" s="196" t="n">
        <v>0</v>
      </c>
      <c r="O72" s="196" t="n">
        <v>0</v>
      </c>
      <c r="P72" s="196" t="n">
        <v>0</v>
      </c>
      <c r="Q72" s="196" t="n">
        <v>0</v>
      </c>
      <c r="R72" s="196" t="n">
        <v>0</v>
      </c>
      <c r="S72" s="196" t="n">
        <v>0</v>
      </c>
      <c r="T72" s="196" t="n">
        <v>0</v>
      </c>
      <c r="U72" s="196" t="n">
        <v>0</v>
      </c>
      <c r="V72" s="196" t="n">
        <v>0</v>
      </c>
      <c r="W72" s="196" t="n">
        <v>0</v>
      </c>
      <c r="X72" s="196" t="n">
        <v>0</v>
      </c>
      <c r="Y72" s="196" t="n">
        <v>0</v>
      </c>
      <c r="Z72" s="196" t="n">
        <v>0</v>
      </c>
      <c r="AA72" s="196" t="n">
        <v>0</v>
      </c>
      <c r="AB72" s="196" t="n">
        <v>0</v>
      </c>
      <c r="AC72" s="196" t="n">
        <v>0</v>
      </c>
      <c r="AD72" s="196" t="n">
        <v>0</v>
      </c>
      <c r="AE72" s="196" t="n">
        <v>0</v>
      </c>
      <c r="AF72" s="196" t="n">
        <v>0</v>
      </c>
      <c r="AG72" s="197" t="n">
        <f aca="false">SUM(G72:AA72)</f>
        <v>0</v>
      </c>
    </row>
    <row r="73" customFormat="false" ht="12.75" hidden="false" customHeight="false" outlineLevel="0" collapsed="false">
      <c r="A73" s="29"/>
      <c r="B73" s="30" t="s">
        <v>417</v>
      </c>
      <c r="C73" s="30"/>
      <c r="D73" s="30"/>
      <c r="E73" s="30"/>
      <c r="F73" s="30"/>
      <c r="G73" s="196" t="n">
        <v>0</v>
      </c>
      <c r="H73" s="196" t="n">
        <v>0</v>
      </c>
      <c r="I73" s="196" t="n">
        <v>0</v>
      </c>
      <c r="J73" s="196" t="n">
        <v>0</v>
      </c>
      <c r="K73" s="196" t="n">
        <v>0</v>
      </c>
      <c r="L73" s="196" t="n">
        <v>0</v>
      </c>
      <c r="M73" s="196" t="n">
        <v>0</v>
      </c>
      <c r="N73" s="196" t="n">
        <v>0</v>
      </c>
      <c r="O73" s="196" t="n">
        <v>0</v>
      </c>
      <c r="P73" s="196" t="n">
        <v>0</v>
      </c>
      <c r="Q73" s="196" t="n">
        <v>0</v>
      </c>
      <c r="R73" s="196" t="n">
        <v>0</v>
      </c>
      <c r="S73" s="196" t="n">
        <v>0</v>
      </c>
      <c r="T73" s="196" t="n">
        <v>0</v>
      </c>
      <c r="U73" s="196" t="n">
        <v>0</v>
      </c>
      <c r="V73" s="196" t="n">
        <v>0</v>
      </c>
      <c r="W73" s="196" t="n">
        <v>0</v>
      </c>
      <c r="X73" s="196" t="n">
        <v>0</v>
      </c>
      <c r="Y73" s="196" t="n">
        <v>0</v>
      </c>
      <c r="Z73" s="196" t="n">
        <v>0</v>
      </c>
      <c r="AA73" s="196" t="n">
        <v>0</v>
      </c>
      <c r="AB73" s="196" t="n">
        <v>0</v>
      </c>
      <c r="AC73" s="196" t="n">
        <v>0</v>
      </c>
      <c r="AD73" s="196" t="n">
        <v>0</v>
      </c>
      <c r="AE73" s="196" t="n">
        <v>0</v>
      </c>
      <c r="AF73" s="196" t="n">
        <v>0</v>
      </c>
      <c r="AG73" s="197" t="n">
        <f aca="false">SUM(G73:AA73)</f>
        <v>0</v>
      </c>
    </row>
    <row r="74" customFormat="false" ht="12.75" hidden="false" customHeight="false" outlineLevel="0" collapsed="false">
      <c r="A74" s="29"/>
      <c r="B74" s="30" t="s">
        <v>418</v>
      </c>
      <c r="C74" s="30"/>
      <c r="D74" s="30"/>
      <c r="E74" s="30"/>
      <c r="F74" s="30"/>
      <c r="G74" s="196" t="n">
        <v>0</v>
      </c>
      <c r="H74" s="196" t="n">
        <v>0</v>
      </c>
      <c r="I74" s="196" t="n">
        <v>0</v>
      </c>
      <c r="J74" s="196" t="n">
        <v>0</v>
      </c>
      <c r="K74" s="196" t="n">
        <v>0</v>
      </c>
      <c r="L74" s="196" t="n">
        <v>0</v>
      </c>
      <c r="M74" s="196" t="n">
        <v>0</v>
      </c>
      <c r="N74" s="196" t="n">
        <v>0</v>
      </c>
      <c r="O74" s="196" t="n">
        <v>0</v>
      </c>
      <c r="P74" s="196" t="n">
        <v>0</v>
      </c>
      <c r="Q74" s="196" t="n">
        <v>0</v>
      </c>
      <c r="R74" s="196" t="n">
        <v>0</v>
      </c>
      <c r="S74" s="196" t="n">
        <v>0</v>
      </c>
      <c r="T74" s="196" t="n">
        <v>0</v>
      </c>
      <c r="U74" s="196" t="n">
        <v>0</v>
      </c>
      <c r="V74" s="196" t="n">
        <v>0</v>
      </c>
      <c r="W74" s="196" t="n">
        <v>0</v>
      </c>
      <c r="X74" s="196" t="n">
        <v>0</v>
      </c>
      <c r="Y74" s="196" t="n">
        <v>0</v>
      </c>
      <c r="Z74" s="196" t="n">
        <v>0</v>
      </c>
      <c r="AA74" s="196" t="n">
        <v>0</v>
      </c>
      <c r="AB74" s="196" t="n">
        <v>0</v>
      </c>
      <c r="AC74" s="196" t="n">
        <v>0</v>
      </c>
      <c r="AD74" s="196" t="n">
        <v>0</v>
      </c>
      <c r="AE74" s="196" t="n">
        <v>0</v>
      </c>
      <c r="AF74" s="196" t="n">
        <v>0</v>
      </c>
      <c r="AG74" s="197" t="n">
        <f aca="false">SUM(G74:AA74)</f>
        <v>0</v>
      </c>
    </row>
    <row r="75" customFormat="false" ht="12.75" hidden="false" customHeight="false" outlineLevel="0" collapsed="false">
      <c r="A75" s="29"/>
      <c r="B75" s="30" t="s">
        <v>419</v>
      </c>
      <c r="C75" s="30"/>
      <c r="D75" s="30"/>
      <c r="E75" s="30"/>
      <c r="F75" s="30"/>
      <c r="G75" s="196" t="n">
        <v>0</v>
      </c>
      <c r="H75" s="196" t="n">
        <v>0</v>
      </c>
      <c r="I75" s="196" t="n">
        <v>0</v>
      </c>
      <c r="J75" s="196" t="n">
        <v>0</v>
      </c>
      <c r="K75" s="196" t="n">
        <v>0</v>
      </c>
      <c r="L75" s="196" t="n">
        <v>0</v>
      </c>
      <c r="M75" s="196" t="n">
        <v>0</v>
      </c>
      <c r="N75" s="196" t="n">
        <v>0</v>
      </c>
      <c r="O75" s="196" t="n">
        <v>0</v>
      </c>
      <c r="P75" s="196" t="n">
        <v>0</v>
      </c>
      <c r="Q75" s="196" t="n">
        <v>0</v>
      </c>
      <c r="R75" s="196" t="n">
        <v>0</v>
      </c>
      <c r="S75" s="196" t="n">
        <v>0</v>
      </c>
      <c r="T75" s="196" t="n">
        <v>0</v>
      </c>
      <c r="U75" s="196" t="n">
        <v>0</v>
      </c>
      <c r="V75" s="196" t="n">
        <v>0</v>
      </c>
      <c r="W75" s="196" t="n">
        <v>0</v>
      </c>
      <c r="X75" s="196" t="n">
        <v>0</v>
      </c>
      <c r="Y75" s="196" t="n">
        <v>0</v>
      </c>
      <c r="Z75" s="196" t="n">
        <v>0</v>
      </c>
      <c r="AA75" s="196" t="n">
        <v>0</v>
      </c>
      <c r="AB75" s="196" t="n">
        <v>0</v>
      </c>
      <c r="AC75" s="196" t="n">
        <v>0</v>
      </c>
      <c r="AD75" s="196" t="n">
        <v>0</v>
      </c>
      <c r="AE75" s="196" t="n">
        <v>0</v>
      </c>
      <c r="AF75" s="196" t="n">
        <v>0</v>
      </c>
      <c r="AG75" s="197" t="n">
        <f aca="false">SUM(G75:AA75)</f>
        <v>0</v>
      </c>
    </row>
    <row r="76" customFormat="false" ht="12.75" hidden="false" customHeight="false" outlineLevel="0" collapsed="false">
      <c r="A76" s="29"/>
      <c r="B76" s="30" t="s">
        <v>420</v>
      </c>
      <c r="C76" s="30"/>
      <c r="D76" s="30"/>
      <c r="E76" s="30"/>
      <c r="F76" s="30"/>
      <c r="G76" s="196" t="n">
        <v>0</v>
      </c>
      <c r="H76" s="196" t="n">
        <v>0</v>
      </c>
      <c r="I76" s="196" t="n">
        <v>0</v>
      </c>
      <c r="J76" s="196" t="n">
        <v>0</v>
      </c>
      <c r="K76" s="196" t="n">
        <v>0</v>
      </c>
      <c r="L76" s="196" t="n">
        <v>0</v>
      </c>
      <c r="M76" s="196" t="n">
        <v>0</v>
      </c>
      <c r="N76" s="196" t="n">
        <v>0</v>
      </c>
      <c r="O76" s="196" t="n">
        <v>0</v>
      </c>
      <c r="P76" s="196" t="n">
        <v>0</v>
      </c>
      <c r="Q76" s="196" t="n">
        <v>0</v>
      </c>
      <c r="R76" s="196" t="n">
        <v>0</v>
      </c>
      <c r="S76" s="196" t="n">
        <v>0</v>
      </c>
      <c r="T76" s="196" t="n">
        <v>0</v>
      </c>
      <c r="U76" s="196" t="n">
        <v>0</v>
      </c>
      <c r="V76" s="196" t="n">
        <v>0</v>
      </c>
      <c r="W76" s="196" t="n">
        <v>0</v>
      </c>
      <c r="X76" s="196" t="n">
        <v>0</v>
      </c>
      <c r="Y76" s="196" t="n">
        <v>0</v>
      </c>
      <c r="Z76" s="196" t="n">
        <v>0</v>
      </c>
      <c r="AA76" s="196" t="n">
        <v>0</v>
      </c>
      <c r="AB76" s="196" t="n">
        <v>0</v>
      </c>
      <c r="AC76" s="196" t="n">
        <v>0</v>
      </c>
      <c r="AD76" s="196" t="n">
        <v>0</v>
      </c>
      <c r="AE76" s="196" t="n">
        <v>0</v>
      </c>
      <c r="AF76" s="196" t="n">
        <v>0</v>
      </c>
      <c r="AG76" s="197" t="n">
        <f aca="false">SUM(G76:AA76)</f>
        <v>0</v>
      </c>
    </row>
    <row r="77" customFormat="false" ht="12.75" hidden="false" customHeight="false" outlineLevel="0" collapsed="false">
      <c r="A77" s="29"/>
      <c r="B77" s="30" t="s">
        <v>421</v>
      </c>
      <c r="C77" s="30"/>
      <c r="D77" s="30"/>
      <c r="E77" s="30"/>
      <c r="F77" s="30"/>
      <c r="G77" s="196" t="n">
        <v>0</v>
      </c>
      <c r="H77" s="196" t="n">
        <v>0</v>
      </c>
      <c r="I77" s="196" t="n">
        <v>0</v>
      </c>
      <c r="J77" s="196" t="n">
        <v>0</v>
      </c>
      <c r="K77" s="196" t="n">
        <v>0</v>
      </c>
      <c r="L77" s="196" t="n">
        <v>0</v>
      </c>
      <c r="M77" s="196" t="n">
        <v>0</v>
      </c>
      <c r="N77" s="196" t="n">
        <v>0</v>
      </c>
      <c r="O77" s="196" t="n">
        <v>0</v>
      </c>
      <c r="P77" s="196" t="n">
        <v>0</v>
      </c>
      <c r="Q77" s="196" t="n">
        <v>0</v>
      </c>
      <c r="R77" s="196" t="n">
        <v>0</v>
      </c>
      <c r="S77" s="196" t="n">
        <v>0</v>
      </c>
      <c r="T77" s="196" t="n">
        <v>0</v>
      </c>
      <c r="U77" s="196" t="n">
        <v>0</v>
      </c>
      <c r="V77" s="196" t="n">
        <v>0</v>
      </c>
      <c r="W77" s="196" t="n">
        <v>0</v>
      </c>
      <c r="X77" s="196" t="n">
        <v>0</v>
      </c>
      <c r="Y77" s="196" t="n">
        <v>0</v>
      </c>
      <c r="Z77" s="196" t="n">
        <v>0</v>
      </c>
      <c r="AA77" s="196" t="n">
        <v>0</v>
      </c>
      <c r="AB77" s="196" t="n">
        <v>0</v>
      </c>
      <c r="AC77" s="196" t="n">
        <v>0</v>
      </c>
      <c r="AD77" s="196" t="n">
        <v>0</v>
      </c>
      <c r="AE77" s="196" t="n">
        <v>0</v>
      </c>
      <c r="AF77" s="196" t="n">
        <v>0</v>
      </c>
      <c r="AG77" s="197" t="n">
        <f aca="false">SUM(G77:AA77)</f>
        <v>0</v>
      </c>
    </row>
    <row r="78" customFormat="false" ht="12.75" hidden="false" customHeight="false" outlineLevel="0" collapsed="false">
      <c r="A78" s="29"/>
      <c r="B78" s="30" t="s">
        <v>422</v>
      </c>
      <c r="C78" s="30"/>
      <c r="D78" s="30"/>
      <c r="E78" s="30"/>
      <c r="F78" s="30"/>
      <c r="G78" s="196" t="n">
        <f aca="false">COST*equityperc</f>
        <v>13000</v>
      </c>
      <c r="H78" s="196" t="n">
        <v>0</v>
      </c>
      <c r="I78" s="196" t="n">
        <v>0</v>
      </c>
      <c r="J78" s="196" t="n">
        <v>0</v>
      </c>
      <c r="K78" s="196" t="n">
        <v>0</v>
      </c>
      <c r="L78" s="196" t="n">
        <v>0</v>
      </c>
      <c r="M78" s="196" t="n">
        <v>0</v>
      </c>
      <c r="N78" s="196" t="n">
        <v>0</v>
      </c>
      <c r="O78" s="196" t="n">
        <v>0</v>
      </c>
      <c r="P78" s="196" t="n">
        <v>0</v>
      </c>
      <c r="Q78" s="196" t="n">
        <v>0</v>
      </c>
      <c r="R78" s="196" t="n">
        <v>0</v>
      </c>
      <c r="S78" s="196" t="n">
        <v>0</v>
      </c>
      <c r="T78" s="196" t="n">
        <v>0</v>
      </c>
      <c r="U78" s="196" t="n">
        <v>0</v>
      </c>
      <c r="V78" s="196" t="n">
        <v>0</v>
      </c>
      <c r="W78" s="196" t="n">
        <v>0</v>
      </c>
      <c r="X78" s="196" t="n">
        <v>0</v>
      </c>
      <c r="Y78" s="196" t="n">
        <v>0</v>
      </c>
      <c r="Z78" s="196" t="n">
        <v>0</v>
      </c>
      <c r="AA78" s="196" t="n">
        <v>0</v>
      </c>
      <c r="AB78" s="196" t="n">
        <v>0</v>
      </c>
      <c r="AC78" s="196" t="n">
        <v>0</v>
      </c>
      <c r="AD78" s="196" t="n">
        <v>0</v>
      </c>
      <c r="AE78" s="196" t="n">
        <v>0</v>
      </c>
      <c r="AF78" s="196" t="n">
        <v>0</v>
      </c>
      <c r="AG78" s="197" t="n">
        <f aca="false">SUM(G78:AA78)</f>
        <v>13000</v>
      </c>
    </row>
    <row r="79" customFormat="false" ht="12.75" hidden="false" customHeight="false" outlineLevel="0" collapsed="false">
      <c r="A79" s="29"/>
      <c r="B79" s="30" t="s">
        <v>376</v>
      </c>
      <c r="C79" s="30"/>
      <c r="D79" s="30"/>
      <c r="E79" s="30"/>
      <c r="F79" s="196"/>
      <c r="G79" s="196" t="n">
        <f aca="false">-(G72+G78-WCAP)</f>
        <v>-13000</v>
      </c>
      <c r="H79" s="196" t="n">
        <v>0</v>
      </c>
      <c r="I79" s="196" t="n">
        <v>0</v>
      </c>
      <c r="J79" s="196" t="n">
        <v>0</v>
      </c>
      <c r="K79" s="196" t="n">
        <v>0</v>
      </c>
      <c r="L79" s="196" t="n">
        <v>0</v>
      </c>
      <c r="M79" s="196" t="n">
        <v>0</v>
      </c>
      <c r="N79" s="196" t="n">
        <v>0</v>
      </c>
      <c r="O79" s="196" t="n">
        <v>0</v>
      </c>
      <c r="P79" s="196" t="n">
        <v>0</v>
      </c>
      <c r="Q79" s="196" t="n">
        <v>0</v>
      </c>
      <c r="R79" s="196" t="n">
        <v>0</v>
      </c>
      <c r="S79" s="196" t="n">
        <v>0</v>
      </c>
      <c r="T79" s="196" t="n">
        <v>0</v>
      </c>
      <c r="U79" s="196" t="n">
        <v>0</v>
      </c>
      <c r="V79" s="196" t="n">
        <v>0</v>
      </c>
      <c r="W79" s="196" t="n">
        <v>0</v>
      </c>
      <c r="X79" s="196" t="n">
        <v>0</v>
      </c>
      <c r="Y79" s="196" t="n">
        <v>0</v>
      </c>
      <c r="Z79" s="196" t="n">
        <v>0</v>
      </c>
      <c r="AA79" s="196" t="n">
        <v>0</v>
      </c>
      <c r="AB79" s="196" t="n">
        <v>0</v>
      </c>
      <c r="AC79" s="196" t="n">
        <v>0</v>
      </c>
      <c r="AD79" s="196" t="n">
        <v>0</v>
      </c>
      <c r="AE79" s="196" t="n">
        <v>0</v>
      </c>
      <c r="AF79" s="196" t="n">
        <v>0</v>
      </c>
      <c r="AG79" s="197" t="n">
        <f aca="false">SUM(G79:AA79)</f>
        <v>-13000</v>
      </c>
    </row>
    <row r="80" customFormat="false" ht="12.75" hidden="false" customHeight="false" outlineLevel="0" collapsed="false">
      <c r="A80" s="29"/>
      <c r="B80" s="30" t="s">
        <v>423</v>
      </c>
      <c r="C80" s="30"/>
      <c r="D80" s="30"/>
      <c r="E80" s="30"/>
      <c r="F80" s="30"/>
      <c r="G80" s="196" t="n">
        <f aca="false">-CF!D69</f>
        <v>-7054.1</v>
      </c>
      <c r="H80" s="196" t="n">
        <f aca="false">-CF!E69</f>
        <v>-6153.182</v>
      </c>
      <c r="I80" s="196" t="n">
        <f aca="false">-CF!F69</f>
        <v>-5252.24564</v>
      </c>
      <c r="J80" s="196" t="e">
        <f aca="false">-#REF!</f>
        <v>#REF!</v>
      </c>
      <c r="K80" s="196" t="e">
        <f aca="false">-#REF!</f>
        <v>#REF!</v>
      </c>
      <c r="L80" s="196" t="e">
        <f aca="false">-#REF!</f>
        <v>#REF!</v>
      </c>
      <c r="M80" s="196" t="e">
        <f aca="false">-#REF!</f>
        <v>#REF!</v>
      </c>
      <c r="N80" s="196" t="e">
        <f aca="false">-#REF!</f>
        <v>#REF!</v>
      </c>
      <c r="O80" s="196" t="e">
        <f aca="false">-#REF!</f>
        <v>#REF!</v>
      </c>
      <c r="P80" s="196" t="e">
        <f aca="false">-#REF!</f>
        <v>#REF!</v>
      </c>
      <c r="Q80" s="196" t="e">
        <f aca="false">-#REF!</f>
        <v>#REF!</v>
      </c>
      <c r="R80" s="196" t="e">
        <f aca="false">-#REF!</f>
        <v>#REF!</v>
      </c>
      <c r="S80" s="196" t="e">
        <f aca="false">-#REF!</f>
        <v>#REF!</v>
      </c>
      <c r="T80" s="196" t="e">
        <f aca="false">-#REF!</f>
        <v>#REF!</v>
      </c>
      <c r="U80" s="196" t="e">
        <f aca="false">-#REF!</f>
        <v>#REF!</v>
      </c>
      <c r="V80" s="196" t="e">
        <f aca="false">-#REF!</f>
        <v>#REF!</v>
      </c>
      <c r="W80" s="196" t="e">
        <f aca="false">-#REF!</f>
        <v>#REF!</v>
      </c>
      <c r="X80" s="196" t="e">
        <f aca="false">-#REF!</f>
        <v>#REF!</v>
      </c>
      <c r="Y80" s="196" t="e">
        <f aca="false">-#REF!</f>
        <v>#REF!</v>
      </c>
      <c r="Z80" s="196" t="e">
        <f aca="false">-#REF!</f>
        <v>#REF!</v>
      </c>
      <c r="AA80" s="196" t="e">
        <f aca="false">-#REF!</f>
        <v>#REF!</v>
      </c>
      <c r="AB80" s="196" t="e">
        <f aca="false">-#REF!</f>
        <v>#REF!</v>
      </c>
      <c r="AC80" s="196" t="e">
        <f aca="false">-#REF!</f>
        <v>#REF!</v>
      </c>
      <c r="AD80" s="196" t="e">
        <f aca="false">-#REF!</f>
        <v>#REF!</v>
      </c>
      <c r="AE80" s="196" t="e">
        <f aca="false">-#REF!</f>
        <v>#REF!</v>
      </c>
      <c r="AF80" s="196" t="e">
        <f aca="false">-#REF!</f>
        <v>#REF!</v>
      </c>
      <c r="AG80" s="197" t="e">
        <f aca="false">SUM(G80:AA80)</f>
        <v>#REF!</v>
      </c>
    </row>
    <row r="81" customFormat="false" ht="12.75" hidden="false" customHeight="false" outlineLevel="0" collapsed="false">
      <c r="A81" s="29"/>
      <c r="B81" s="30"/>
      <c r="C81" s="30" t="s">
        <v>424</v>
      </c>
      <c r="D81" s="30"/>
      <c r="E81" s="30"/>
      <c r="F81" s="30"/>
      <c r="G81" s="203" t="n">
        <f aca="false">SUM(G71:G80)</f>
        <v>-7054.1</v>
      </c>
      <c r="H81" s="203" t="n">
        <f aca="false">SUM(H71:H80)</f>
        <v>-6153.182</v>
      </c>
      <c r="I81" s="203" t="n">
        <f aca="false">SUM(I71:I80)</f>
        <v>-5252.24564</v>
      </c>
      <c r="J81" s="203" t="e">
        <f aca="false">SUM(J71:J80)</f>
        <v>#REF!</v>
      </c>
      <c r="K81" s="203" t="e">
        <f aca="false">SUM(K71:K80)</f>
        <v>#REF!</v>
      </c>
      <c r="L81" s="203" t="e">
        <f aca="false">SUM(L71:L80)</f>
        <v>#REF!</v>
      </c>
      <c r="M81" s="203" t="e">
        <f aca="false">SUM(M71:M80)</f>
        <v>#REF!</v>
      </c>
      <c r="N81" s="203" t="e">
        <f aca="false">SUM(N71:N80)</f>
        <v>#REF!</v>
      </c>
      <c r="O81" s="203" t="e">
        <f aca="false">SUM(O71:O80)</f>
        <v>#REF!</v>
      </c>
      <c r="P81" s="203" t="e">
        <f aca="false">SUM(P71:P80)</f>
        <v>#REF!</v>
      </c>
      <c r="Q81" s="203" t="e">
        <f aca="false">SUM(Q71:Q80)</f>
        <v>#REF!</v>
      </c>
      <c r="R81" s="203" t="e">
        <f aca="false">SUM(R71:R80)</f>
        <v>#REF!</v>
      </c>
      <c r="S81" s="203" t="e">
        <f aca="false">SUM(S71:S80)</f>
        <v>#REF!</v>
      </c>
      <c r="T81" s="203" t="e">
        <f aca="false">SUM(T71:T80)</f>
        <v>#REF!</v>
      </c>
      <c r="U81" s="203" t="e">
        <f aca="false">SUM(U71:U80)</f>
        <v>#REF!</v>
      </c>
      <c r="V81" s="203" t="e">
        <f aca="false">SUM(V71:V80)</f>
        <v>#REF!</v>
      </c>
      <c r="W81" s="203" t="e">
        <f aca="false">SUM(W71:W80)</f>
        <v>#REF!</v>
      </c>
      <c r="X81" s="203" t="e">
        <f aca="false">SUM(X71:X80)</f>
        <v>#REF!</v>
      </c>
      <c r="Y81" s="203" t="e">
        <f aca="false">SUM(Y71:Y80)</f>
        <v>#REF!</v>
      </c>
      <c r="Z81" s="203" t="e">
        <f aca="false">SUM(Z71:Z80)</f>
        <v>#REF!</v>
      </c>
      <c r="AA81" s="203" t="e">
        <f aca="false">SUM(AA71:AA80)</f>
        <v>#REF!</v>
      </c>
      <c r="AB81" s="203" t="e">
        <f aca="false">SUM(AB71:AB80)</f>
        <v>#REF!</v>
      </c>
      <c r="AC81" s="203" t="e">
        <f aca="false">SUM(AC71:AC80)</f>
        <v>#REF!</v>
      </c>
      <c r="AD81" s="203" t="e">
        <f aca="false">SUM(AD71:AD80)</f>
        <v>#REF!</v>
      </c>
      <c r="AE81" s="203" t="e">
        <f aca="false">SUM(AE71:AE80)</f>
        <v>#REF!</v>
      </c>
      <c r="AF81" s="203" t="e">
        <f aca="false">SUM(AF71:AF80)</f>
        <v>#REF!</v>
      </c>
      <c r="AG81" s="395" t="e">
        <f aca="false">SUM(G81:AA81)</f>
        <v>#REF!</v>
      </c>
    </row>
    <row r="82" customFormat="false" ht="12.75" hidden="false" customHeight="false" outlineLevel="0" collapsed="false">
      <c r="A82" s="29"/>
      <c r="B82" s="30"/>
      <c r="C82" s="30"/>
      <c r="D82" s="30"/>
      <c r="E82" s="30"/>
      <c r="F82" s="30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7" t="s">
        <v>1</v>
      </c>
    </row>
    <row r="83" customFormat="false" ht="12.75" hidden="false" customHeight="false" outlineLevel="0" collapsed="false">
      <c r="A83" s="29" t="s">
        <v>425</v>
      </c>
      <c r="B83" s="30"/>
      <c r="C83" s="30"/>
      <c r="D83" s="30"/>
      <c r="E83" s="30"/>
      <c r="F83" s="30"/>
      <c r="G83" s="196" t="n">
        <f aca="false">G68+G81</f>
        <v>0</v>
      </c>
      <c r="H83" s="196" t="n">
        <f aca="false">H68+H81</f>
        <v>0</v>
      </c>
      <c r="I83" s="196" t="n">
        <f aca="false">I68+I81</f>
        <v>0</v>
      </c>
      <c r="J83" s="196" t="e">
        <f aca="false">J68+J81</f>
        <v>#REF!</v>
      </c>
      <c r="K83" s="196" t="e">
        <f aca="false">K68+K81</f>
        <v>#REF!</v>
      </c>
      <c r="L83" s="196" t="e">
        <f aca="false">L68+L81</f>
        <v>#REF!</v>
      </c>
      <c r="M83" s="196" t="e">
        <f aca="false">M68+M81</f>
        <v>#REF!</v>
      </c>
      <c r="N83" s="196" t="e">
        <f aca="false">N68+N81</f>
        <v>#REF!</v>
      </c>
      <c r="O83" s="196" t="e">
        <f aca="false">O68+O81</f>
        <v>#REF!</v>
      </c>
      <c r="P83" s="196" t="e">
        <f aca="false">P68+P81</f>
        <v>#REF!</v>
      </c>
      <c r="Q83" s="196" t="e">
        <f aca="false">Q68+Q81</f>
        <v>#REF!</v>
      </c>
      <c r="R83" s="196" t="e">
        <f aca="false">R68+R81</f>
        <v>#REF!</v>
      </c>
      <c r="S83" s="196" t="e">
        <f aca="false">S68+S81</f>
        <v>#REF!</v>
      </c>
      <c r="T83" s="196" t="e">
        <f aca="false">T68+T81</f>
        <v>#REF!</v>
      </c>
      <c r="U83" s="196" t="e">
        <f aca="false">U68+U81</f>
        <v>#REF!</v>
      </c>
      <c r="V83" s="196" t="e">
        <f aca="false">V68+V81</f>
        <v>#REF!</v>
      </c>
      <c r="W83" s="196" t="e">
        <f aca="false">W68+W81</f>
        <v>#REF!</v>
      </c>
      <c r="X83" s="196" t="e">
        <f aca="false">X68+X81</f>
        <v>#REF!</v>
      </c>
      <c r="Y83" s="196" t="e">
        <f aca="false">Y68+Y81</f>
        <v>#REF!</v>
      </c>
      <c r="Z83" s="196" t="e">
        <f aca="false">Z68+Z81</f>
        <v>#REF!</v>
      </c>
      <c r="AA83" s="196" t="e">
        <f aca="false">AA68+AA81</f>
        <v>#REF!</v>
      </c>
      <c r="AB83" s="196" t="e">
        <f aca="false">AB68+AB81</f>
        <v>#REF!</v>
      </c>
      <c r="AC83" s="196" t="e">
        <f aca="false">AC68+AC81</f>
        <v>#REF!</v>
      </c>
      <c r="AD83" s="196" t="e">
        <f aca="false">AD68+AD81</f>
        <v>#REF!</v>
      </c>
      <c r="AE83" s="196" t="e">
        <f aca="false">AE68+AE81</f>
        <v>#REF!</v>
      </c>
      <c r="AF83" s="196" t="e">
        <f aca="false">AF68+AF81</f>
        <v>#REF!</v>
      </c>
      <c r="AG83" s="197" t="e">
        <f aca="false">SUM(G83:AF83)</f>
        <v>#REF!</v>
      </c>
    </row>
    <row r="84" customFormat="false" ht="12.75" hidden="false" customHeight="false" outlineLevel="0" collapsed="false">
      <c r="A84" s="29"/>
      <c r="B84" s="30"/>
      <c r="C84" s="30"/>
      <c r="D84" s="30"/>
      <c r="E84" s="30"/>
      <c r="F84" s="30"/>
      <c r="G84" s="196"/>
      <c r="H84" s="196"/>
      <c r="I84" s="196"/>
      <c r="J84" s="196"/>
      <c r="K84" s="196"/>
      <c r="L84" s="196"/>
      <c r="M84" s="196"/>
      <c r="N84" s="196"/>
      <c r="O84" s="196"/>
      <c r="P84" s="196"/>
      <c r="Q84" s="196"/>
      <c r="R84" s="196"/>
      <c r="S84" s="196"/>
      <c r="T84" s="196"/>
      <c r="U84" s="196"/>
      <c r="V84" s="196"/>
      <c r="W84" s="196"/>
      <c r="X84" s="196"/>
      <c r="Y84" s="196"/>
      <c r="Z84" s="196"/>
      <c r="AA84" s="196"/>
      <c r="AB84" s="196"/>
      <c r="AC84" s="196"/>
      <c r="AD84" s="196"/>
      <c r="AE84" s="196"/>
      <c r="AF84" s="196"/>
      <c r="AG84" s="197" t="s">
        <v>1</v>
      </c>
    </row>
    <row r="85" customFormat="false" ht="12.75" hidden="false" customHeight="false" outlineLevel="0" collapsed="false">
      <c r="A85" s="29" t="s">
        <v>426</v>
      </c>
      <c r="B85" s="30"/>
      <c r="C85" s="30"/>
      <c r="D85" s="30"/>
      <c r="E85" s="30"/>
      <c r="F85" s="30"/>
      <c r="G85" s="196" t="n">
        <v>0</v>
      </c>
      <c r="H85" s="196" t="n">
        <f aca="false">G87</f>
        <v>0</v>
      </c>
      <c r="I85" s="196" t="n">
        <f aca="false">H87</f>
        <v>0</v>
      </c>
      <c r="J85" s="196" t="n">
        <f aca="false">I87</f>
        <v>0</v>
      </c>
      <c r="K85" s="196" t="e">
        <f aca="false">J87</f>
        <v>#REF!</v>
      </c>
      <c r="L85" s="196" t="e">
        <f aca="false">K87</f>
        <v>#REF!</v>
      </c>
      <c r="M85" s="196" t="e">
        <f aca="false">L87</f>
        <v>#REF!</v>
      </c>
      <c r="N85" s="196" t="e">
        <f aca="false">M87</f>
        <v>#REF!</v>
      </c>
      <c r="O85" s="196" t="e">
        <f aca="false">N87</f>
        <v>#REF!</v>
      </c>
      <c r="P85" s="196" t="e">
        <f aca="false">O87</f>
        <v>#REF!</v>
      </c>
      <c r="Q85" s="196" t="e">
        <f aca="false">P87</f>
        <v>#REF!</v>
      </c>
      <c r="R85" s="196" t="e">
        <f aca="false">Q87</f>
        <v>#REF!</v>
      </c>
      <c r="S85" s="196" t="e">
        <f aca="false">R87</f>
        <v>#REF!</v>
      </c>
      <c r="T85" s="196" t="e">
        <f aca="false">S87</f>
        <v>#REF!</v>
      </c>
      <c r="U85" s="196" t="e">
        <f aca="false">T87</f>
        <v>#REF!</v>
      </c>
      <c r="V85" s="196" t="e">
        <f aca="false">U87</f>
        <v>#REF!</v>
      </c>
      <c r="W85" s="196" t="e">
        <f aca="false">V87</f>
        <v>#REF!</v>
      </c>
      <c r="X85" s="196" t="e">
        <f aca="false">W87</f>
        <v>#REF!</v>
      </c>
      <c r="Y85" s="196" t="e">
        <f aca="false">X87</f>
        <v>#REF!</v>
      </c>
      <c r="Z85" s="196" t="e">
        <f aca="false">Y87</f>
        <v>#REF!</v>
      </c>
      <c r="AA85" s="196" t="e">
        <f aca="false">Z87</f>
        <v>#REF!</v>
      </c>
      <c r="AB85" s="196" t="e">
        <f aca="false">AA87</f>
        <v>#REF!</v>
      </c>
      <c r="AC85" s="196" t="e">
        <f aca="false">AB87</f>
        <v>#REF!</v>
      </c>
      <c r="AD85" s="196" t="e">
        <f aca="false">AC87</f>
        <v>#REF!</v>
      </c>
      <c r="AE85" s="196" t="e">
        <f aca="false">AD87</f>
        <v>#REF!</v>
      </c>
      <c r="AF85" s="196" t="e">
        <f aca="false">AE87</f>
        <v>#REF!</v>
      </c>
      <c r="AG85" s="197" t="e">
        <f aca="false">SUM(G85:AF85)</f>
        <v>#REF!</v>
      </c>
    </row>
    <row r="86" customFormat="false" ht="12.75" hidden="false" customHeight="false" outlineLevel="0" collapsed="false">
      <c r="A86" s="29"/>
      <c r="B86" s="30"/>
      <c r="C86" s="30"/>
      <c r="D86" s="30"/>
      <c r="E86" s="30"/>
      <c r="F86" s="30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7" t="s">
        <v>1</v>
      </c>
    </row>
    <row r="87" customFormat="false" ht="12.75" hidden="false" customHeight="false" outlineLevel="0" collapsed="false">
      <c r="A87" s="57" t="s">
        <v>427</v>
      </c>
      <c r="B87" s="58"/>
      <c r="C87" s="58"/>
      <c r="D87" s="58"/>
      <c r="E87" s="58"/>
      <c r="F87" s="58"/>
      <c r="G87" s="257" t="n">
        <f aca="false">G83+G85</f>
        <v>0</v>
      </c>
      <c r="H87" s="257" t="n">
        <f aca="false">H83+H85</f>
        <v>0</v>
      </c>
      <c r="I87" s="257" t="n">
        <f aca="false">I83+I85</f>
        <v>0</v>
      </c>
      <c r="J87" s="257" t="e">
        <f aca="false">J83+J85</f>
        <v>#REF!</v>
      </c>
      <c r="K87" s="257" t="e">
        <f aca="false">K83+K85</f>
        <v>#REF!</v>
      </c>
      <c r="L87" s="257" t="e">
        <f aca="false">L83+L85</f>
        <v>#REF!</v>
      </c>
      <c r="M87" s="257" t="e">
        <f aca="false">M83+M85</f>
        <v>#REF!</v>
      </c>
      <c r="N87" s="257" t="e">
        <f aca="false">N83+N85</f>
        <v>#REF!</v>
      </c>
      <c r="O87" s="257" t="e">
        <f aca="false">O83+O85</f>
        <v>#REF!</v>
      </c>
      <c r="P87" s="257" t="e">
        <f aca="false">P83+P85</f>
        <v>#REF!</v>
      </c>
      <c r="Q87" s="257" t="e">
        <f aca="false">Q83+Q85</f>
        <v>#REF!</v>
      </c>
      <c r="R87" s="257" t="e">
        <f aca="false">R83+R85</f>
        <v>#REF!</v>
      </c>
      <c r="S87" s="257" t="e">
        <f aca="false">S83+S85</f>
        <v>#REF!</v>
      </c>
      <c r="T87" s="257" t="e">
        <f aca="false">T83+T85</f>
        <v>#REF!</v>
      </c>
      <c r="U87" s="257" t="e">
        <f aca="false">U83+U85</f>
        <v>#REF!</v>
      </c>
      <c r="V87" s="257" t="e">
        <f aca="false">V83+V85</f>
        <v>#REF!</v>
      </c>
      <c r="W87" s="257" t="e">
        <f aca="false">W83+W85</f>
        <v>#REF!</v>
      </c>
      <c r="X87" s="257" t="e">
        <f aca="false">X83+X85</f>
        <v>#REF!</v>
      </c>
      <c r="Y87" s="257" t="e">
        <f aca="false">Y83+Y85</f>
        <v>#REF!</v>
      </c>
      <c r="Z87" s="257" t="e">
        <f aca="false">Z83+Z85</f>
        <v>#REF!</v>
      </c>
      <c r="AA87" s="257" t="e">
        <f aca="false">AA83+AA85</f>
        <v>#REF!</v>
      </c>
      <c r="AB87" s="257" t="e">
        <f aca="false">AB83+AB85</f>
        <v>#REF!</v>
      </c>
      <c r="AC87" s="257" t="e">
        <f aca="false">AC83+AC85</f>
        <v>#REF!</v>
      </c>
      <c r="AD87" s="257" t="e">
        <f aca="false">AD83+AD85</f>
        <v>#REF!</v>
      </c>
      <c r="AE87" s="257" t="e">
        <f aca="false">AE83+AE85</f>
        <v>#REF!</v>
      </c>
      <c r="AF87" s="257" t="e">
        <f aca="false">AF83+AF85</f>
        <v>#REF!</v>
      </c>
      <c r="AG87" s="377" t="e">
        <f aca="false">SUM(G87:AF87)</f>
        <v>#REF!</v>
      </c>
    </row>
  </sheetData>
  <printOptions headings="false" gridLines="false" gridLinesSet="true" horizontalCentered="true" verticalCentered="false"/>
  <pageMargins left="0.5" right="1" top="0.75" bottom="0.7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 &amp;R&amp;D &amp;T</oddHeader>
    <oddFooter>&amp;Ldev_fin/base/&amp;F&amp;C 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1997-10-01T13:18:53Z</dcterms:created>
  <dc:creator>Rehm, Amanda H</dc:creator>
  <dc:description/>
  <dc:language>en-US</dc:language>
  <cp:lastModifiedBy>cwatts</cp:lastModifiedBy>
  <cp:lastPrinted>2000-09-05T14:48:54Z</cp:lastPrinted>
  <cp:revision>0</cp:revision>
  <dc:subject/>
  <dc:title/>
</cp:coreProperties>
</file>