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" sheetId="1" state="visible" r:id="rId3"/>
    <sheet name="CF" sheetId="2" state="visible" r:id="rId4"/>
    <sheet name="RETURNS" sheetId="3" state="visible" r:id="rId5"/>
    <sheet name="DRAWDOWN" sheetId="4" state="visible" r:id="rId6"/>
    <sheet name="IDC" sheetId="5" state="visible" r:id="rId7"/>
    <sheet name="FIN" sheetId="6" state="visible" r:id="rId8"/>
    <sheet name="TAXES_FEES" sheetId="7" state="visible" r:id="rId9"/>
    <sheet name="DEPR" sheetId="8" state="visible" r:id="rId10"/>
    <sheet name="BS_IS" sheetId="9" state="visible" r:id="rId11"/>
    <sheet name="Module2" sheetId="10" state="hidden" r:id="rId12"/>
    <sheet name="Module4" sheetId="11" state="hidden" r:id="rId13"/>
    <sheet name="Module8" sheetId="12" state="hidden" r:id="rId14"/>
  </sheets>
  <externalReferences>
    <externalReference r:id="rId15"/>
  </externalReferences>
  <definedNames>
    <definedName function="false" hidden="false" localSheetId="0" name="_xlnm.Print_Area" vbProcedure="false">ASS!$A$3:$X$88</definedName>
    <definedName function="false" hidden="false" localSheetId="8" name="_xlnm.Print_Area" vbProcedure="false">BS_IS!$A$1:$AG$90</definedName>
    <definedName function="false" hidden="false" localSheetId="1" name="_xlnm.Print_Area" vbProcedure="false">CF!$A$1:$AD$99</definedName>
    <definedName function="false" hidden="false" localSheetId="7" name="_xlnm.Print_Area" vbProcedure="false">DEPR!$A$1:$AF$53</definedName>
    <definedName function="false" hidden="false" localSheetId="3" name="_xlnm.Print_Area" vbProcedure="false">DRAWDOWN!$A$1:$H$72</definedName>
    <definedName function="false" hidden="false" localSheetId="5" name="_xlnm.Print_Area" vbProcedure="false">FIN!$A$1:$AD$63</definedName>
    <definedName function="false" hidden="false" localSheetId="4" name="_xlnm.Print_Area" vbProcedure="false">IDC!$A$1:$AP$42</definedName>
    <definedName function="false" hidden="false" localSheetId="2" name="_xlnm.Print_Area" vbProcedure="false">RETURNS!$A$1:$AG$70</definedName>
    <definedName function="false" hidden="false" localSheetId="6" name="_xlnm.Print_Area" vbProcedure="false">TAXES_FEES!$A$1:$AD$84</definedName>
    <definedName function="false" hidden="false" name="ASS" vbProcedure="false">ASS!$A$3:$X$88</definedName>
    <definedName function="false" hidden="false" name="avail" vbProcedure="false">ASS!$D$9</definedName>
    <definedName function="false" hidden="false" name="BLANK" vbProcedure="false">ASS!$A$6</definedName>
    <definedName function="false" hidden="false" name="BS" vbProcedure="false">BS_IS!$A$1:$AG$90</definedName>
    <definedName function="false" hidden="false" name="capacity" vbProcedure="false">ASS!$D$8</definedName>
    <definedName function="false" hidden="false" name="CCINPUT" vbProcedure="false">ASS!$R$51</definedName>
    <definedName function="false" hidden="false" name="CCIRR1" vbProcedure="false">'[1]'!$M$10</definedName>
    <definedName function="false" hidden="false" name="CCIRR2" vbProcedure="false">'[1]'!$M$11</definedName>
    <definedName function="false" hidden="false" name="CCIRR3" vbProcedure="false">'[1]'!$M$12</definedName>
    <definedName function="false" hidden="false" name="CCNPV1" vbProcedure="false">'[1]'!$O$10</definedName>
    <definedName function="false" hidden="false" name="CCNPV2" vbProcedure="false">'[1]'!$O$11</definedName>
    <definedName function="false" hidden="false" name="CCNPV3" vbProcedure="false">'[1]'!$O$12</definedName>
    <definedName function="false" hidden="false" name="CCTAR1" vbProcedure="false">'[1]'!$K$10</definedName>
    <definedName function="false" hidden="false" name="CCTAR2" vbProcedure="false">'[1]'!$K$11</definedName>
    <definedName function="false" hidden="false" name="CCTAR3" vbProcedure="false">'[1]'!$K$12</definedName>
    <definedName function="false" hidden="false" name="CCTEMP" vbProcedure="false">ASS!$Q$50</definedName>
    <definedName function="false" hidden="false" name="CCVAR" vbProcedure="false">ASS!$Q$51</definedName>
    <definedName function="false" hidden="false" name="CCVAR1" vbProcedure="false">ASS!$P$51</definedName>
    <definedName function="false" hidden="false" name="CF" vbProcedure="false">CF!$A$1:$AD$99</definedName>
    <definedName function="false" hidden="false" name="ch" vbProcedure="false">#REF!</definedName>
    <definedName function="false" hidden="false" name="COST" vbProcedure="false">ASS!$R$54</definedName>
    <definedName function="false" hidden="false" name="CPI" vbProcedure="false">ASS!$E$41</definedName>
    <definedName function="false" hidden="false" name="CT_COMFEE" vbProcedure="false">TAXES_FEES!$A$1:$AD$84</definedName>
    <definedName function="false" hidden="false" name="DEBT" vbProcedure="false">ASS!$X$84</definedName>
    <definedName function="false" hidden="false" name="DEBTPERC" vbProcedure="false">ASS!$V$84</definedName>
    <definedName function="false" hidden="false" name="DEPR" vbProcedure="false">DEPR!$A$1:$AF$53</definedName>
    <definedName function="false" hidden="false" name="DISC" vbProcedure="false">ASS!$V$9</definedName>
    <definedName function="false" hidden="false" name="dispatch" vbProcedure="false">ASS!$D$11</definedName>
    <definedName function="false" hidden="false" name="DRAWDOWN" vbProcedure="false">DRAWDOWN!$A$1:$H$72</definedName>
    <definedName function="false" hidden="false" name="DRAW_TABLE" vbProcedure="false">DRAWDOWN!$A$10:$G$71</definedName>
    <definedName function="false" hidden="false" name="DUTIES" vbProcedure="false">#REF!</definedName>
    <definedName function="false" hidden="false" name="EINC" vbProcedure="false">'[1]'!$A$1:$AG$74</definedName>
    <definedName function="false" hidden="false" name="EITF_91_6" vbProcedure="false">'[1]'!$A$1:$AG$26</definedName>
    <definedName function="false" hidden="false" name="EQUITY" vbProcedure="false">ASS!$X$85</definedName>
    <definedName function="false" hidden="false" name="equityperc" vbProcedure="false">ASS!$V$85</definedName>
    <definedName function="false" hidden="false" name="EST_COMMITT" vbProcedure="false">ASS!$AE$11</definedName>
    <definedName function="false" hidden="false" name="EST_COST" vbProcedure="false">ASS!$AE$13</definedName>
    <definedName function="false" hidden="false" name="EST_COST1" vbProcedure="false">ASS!$P$50</definedName>
    <definedName function="false" hidden="false" name="EST_D1" vbProcedure="false">ASS!$AE$14</definedName>
    <definedName function="false" hidden="false" name="EST_D3" vbProcedure="false">ASS!$AE$16</definedName>
    <definedName function="false" hidden="false" name="EST_D4" vbProcedure="false">ASS!$AE$17</definedName>
    <definedName function="false" hidden="false" name="EST_D5" vbProcedure="false">ASS!$AE$18</definedName>
    <definedName function="false" hidden="false" name="EST_D6" vbProcedure="false">ASS!$AE$19</definedName>
    <definedName function="false" hidden="false" name="EST_DEBTPERC" vbProcedure="false">#REF!</definedName>
    <definedName function="false" hidden="false" name="EST_DEV" vbProcedure="false">ASS!$AE$12</definedName>
    <definedName function="false" hidden="false" name="EST_EXIM" vbProcedure="false">ASS!$AE$15</definedName>
    <definedName function="false" hidden="false" name="EST_FIN" vbProcedure="false">ASS!$AF$10</definedName>
    <definedName function="false" hidden="false" name="EST_IDC" vbProcedure="false">ASS!$AE$8</definedName>
    <definedName function="false" hidden="false" name="EST_IRR" vbProcedure="false">#REF!</definedName>
    <definedName function="false" hidden="false" name="FIN" vbProcedure="false">FIN!$A$1:$AD$63</definedName>
    <definedName function="false" hidden="false" name="FIN_TABLE" vbProcedure="false">FIN!$B$23:$AB$62</definedName>
    <definedName function="false" hidden="false" name="HR" vbProcedure="false">ASS!$D$10</definedName>
    <definedName function="false" hidden="false" name="IDC" vbProcedure="false">IDC!$A$1:$AP$42</definedName>
    <definedName function="false" hidden="false" name="IDC_TABLE" vbProcedure="false">IDC!$E$7:$AN$38</definedName>
    <definedName function="false" hidden="false" name="idc_table1" vbProcedure="false">IDC!$E$6:$AO$38</definedName>
    <definedName function="false" hidden="false" name="INPUTS" vbProcedure="false">ASS!$AF$8:$AF$19</definedName>
    <definedName function="false" hidden="false" name="INT1" vbProcedure="false">ASS!$V$38</definedName>
    <definedName function="false" hidden="false" name="INT2" vbProcedure="false">ASS!$V$46</definedName>
    <definedName function="false" hidden="false" name="INT3" vbProcedure="false">ASS!$V$54</definedName>
    <definedName function="false" hidden="false" name="INT4" vbProcedure="false">ASS!$V$62</definedName>
    <definedName function="false" hidden="false" name="INT5" vbProcedure="false">ASS!$V$70</definedName>
    <definedName function="false" hidden="false" name="INT6" vbProcedure="false">ASS!$V$78</definedName>
    <definedName function="false" hidden="false" name="IR1A" vbProcedure="false">ASS!$V$39</definedName>
    <definedName function="false" hidden="false" name="IR1B" vbProcedure="false">ASS!$U$39</definedName>
    <definedName function="false" hidden="false" name="IR1TEMP" vbProcedure="false">ASS!$W$36</definedName>
    <definedName function="false" hidden="false" name="IR2A" vbProcedure="false">ASS!$V$47</definedName>
    <definedName function="false" hidden="false" name="IR2B" vbProcedure="false">ASS!$U$47</definedName>
    <definedName function="false" hidden="false" name="IR2TEMP" vbProcedure="false">ASS!$W$44</definedName>
    <definedName function="false" hidden="false" name="IR3A" vbProcedure="false">ASS!$V$55</definedName>
    <definedName function="false" hidden="false" name="IR3B" vbProcedure="false">ASS!$U$55</definedName>
    <definedName function="false" hidden="false" name="IR3TEMP" vbProcedure="false">ASS!$W$52</definedName>
    <definedName function="false" hidden="false" name="IR4A" vbProcedure="false">ASS!$V$63</definedName>
    <definedName function="false" hidden="false" name="IR4B" vbProcedure="false">ASS!$U$63</definedName>
    <definedName function="false" hidden="false" name="IR4TEMP" vbProcedure="false">ASS!$W$60</definedName>
    <definedName function="false" hidden="false" name="IR5A" vbProcedure="false">ASS!$V$71</definedName>
    <definedName function="false" hidden="false" name="IR5B" vbProcedure="false">ASS!$U$71</definedName>
    <definedName function="false" hidden="false" name="IR5TEMP" vbProcedure="false">ASS!$W$68</definedName>
    <definedName function="false" hidden="false" name="IR6A" vbProcedure="false">ASS!$V$79</definedName>
    <definedName function="false" hidden="false" name="IR6B" vbProcedure="false">ASS!$U$79</definedName>
    <definedName function="false" hidden="false" name="IR6TEMP" vbProcedure="false">ASS!$W$76</definedName>
    <definedName function="false" hidden="false" name="IRIRR1" vbProcedure="false">'[1]'!$E$10</definedName>
    <definedName function="false" hidden="false" name="IRIRR2" vbProcedure="false">'[1]'!$E$11</definedName>
    <definedName function="false" hidden="false" name="IRIRR3" vbProcedure="false">'[1]'!$E$12</definedName>
    <definedName function="false" hidden="false" name="IRNPV1" vbProcedure="false">'[1]'!$G$10</definedName>
    <definedName function="false" hidden="false" name="IRNPV2" vbProcedure="false">'[1]'!$G$11</definedName>
    <definedName function="false" hidden="false" name="IRNPV3" vbProcedure="false">'[1]'!$G$12</definedName>
    <definedName function="false" hidden="false" name="IRR" vbProcedure="false">ASS!$W$9</definedName>
    <definedName function="false" hidden="false" name="IRRFACTOR" vbProcedure="false">ASS!$Z$10</definedName>
    <definedName function="false" hidden="false" name="IRTAR1" vbProcedure="false">'[1]'!$C$10</definedName>
    <definedName function="false" hidden="false" name="IRTAR2" vbProcedure="false">'[1]'!$C$11</definedName>
    <definedName function="false" hidden="false" name="IRTAR3" vbProcedure="false">'[1]'!$C$12</definedName>
    <definedName function="false" hidden="false" name="loopfactor" vbProcedure="false">ASS!$AI$23</definedName>
    <definedName function="false" hidden="false" name="Loss" vbProcedure="false">ASS!$D$12</definedName>
    <definedName function="false" hidden="false" name="MOSYR1" vbProcedure="false">ASS!$D$17</definedName>
    <definedName function="false" hidden="false" name="NEG" vbProcedure="false">ASS!$D$20</definedName>
    <definedName function="false" hidden="false" name="NPV" vbProcedure="false">ASS!$X$9</definedName>
    <definedName function="false" hidden="false" name="OMIRR1" vbProcedure="false">'[1]'!$E$19</definedName>
    <definedName function="false" hidden="false" name="OMIRR2" vbProcedure="false">'[1]'!$E$20</definedName>
    <definedName function="false" hidden="false" name="OMIRR3" vbProcedure="false">'[1]'!$E$21</definedName>
    <definedName function="false" hidden="false" name="OMNPV1" vbProcedure="false">'[1]'!$G$19</definedName>
    <definedName function="false" hidden="false" name="OMNPV2" vbProcedure="false">'[1]'!$G$20</definedName>
    <definedName function="false" hidden="false" name="OMNPV3" vbProcedure="false">'[1]'!$G$21</definedName>
    <definedName function="false" hidden="false" name="OMTAR1" vbProcedure="false">'[1]'!$C$19</definedName>
    <definedName function="false" hidden="false" name="OMTAR2" vbProcedure="false">'[1]'!$C$20</definedName>
    <definedName function="false" hidden="false" name="OMTAR3" vbProcedure="false">'[1]'!$C$21</definedName>
    <definedName function="false" hidden="false" name="OPIC" vbProcedure="false">#REF!</definedName>
    <definedName function="false" hidden="false" name="POS" vbProcedure="false">ASS!$C$20</definedName>
    <definedName function="false" hidden="false" name="REF1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RETURNS" vbProcedure="false">RETURNS!$A$1:$AG$70</definedName>
    <definedName function="false" hidden="false" name="RET_TABLE" vbProcedure="false">RETURNS!$D$5:$AF$57</definedName>
    <definedName function="false" hidden="false" name="sens" vbProcedure="false">#REF!</definedName>
    <definedName function="false" hidden="false" name="SENS_TABLE" vbProcedure="false">'[1]'!$A$1:$O$21</definedName>
    <definedName function="false" hidden="false" name="SPARES" vbProcedure="false">ASS!$R$46</definedName>
    <definedName function="false" hidden="false" name="STARTCONST" vbProcedure="false">ASS!$D$15</definedName>
    <definedName function="false" hidden="false" name="STARTYR" vbProcedure="false">ASS!$E$17</definedName>
    <definedName function="false" hidden="false" name="TARGET" vbProcedure="false">ASS!$W$10</definedName>
    <definedName function="false" hidden="false" name="TARIFF" vbProcedure="false">ASS!$C$26</definedName>
    <definedName function="false" hidden="false" name="TAX" vbProcedure="false">ASS!$I$9</definedName>
    <definedName function="false" hidden="false" name="TEMP" vbProcedure="false">ASS!$E$20</definedName>
    <definedName function="false" hidden="false" name="TERM" vbProcedure="false">ASS!$E$18</definedName>
    <definedName function="false" hidden="false" name="TERM_C" vbProcedure="false">ASS!$E$16</definedName>
    <definedName function="false" hidden="false" name="toc" vbProcedure="false">#REF!</definedName>
    <definedName function="false" hidden="false" name="USTAX" vbProcedure="false">ASS!$I$15</definedName>
    <definedName function="false" hidden="false" name="VALUES" vbProcedure="false">ASS!$AE$8:$AE$19</definedName>
    <definedName function="false" hidden="false" name="VAT" vbProcedure="false">#REF!</definedName>
    <definedName function="false" hidden="false" name="WCAP" vbProcedure="false">ASS!$R$45</definedName>
    <definedName function="false" hidden="false" name="WHTAX" vbProcedure="false">#REF!</definedName>
    <definedName function="false" hidden="false" localSheetId="0" name="solver_adj" vbProcedure="false">ASS!$C$26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ASS!$V$27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1</definedName>
    <definedName function="false" hidden="false" localSheetId="0" name="solver_nwt" vbProcedure="false">1</definedName>
    <definedName function="false" hidden="false" localSheetId="0" name="solver_opt" vbProcedure="false">ASS!$W$9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hs1" vbProcedure="false">1.4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7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This will come from Nus load flow studies.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35</xdr:row>
                <xdr:rowOff>8</xdr:rowOff>
              </xdr:from>
              <xdr:to>
                <xdr:col>2</xdr:col>
                <xdr:colOff>-12</xdr:colOff>
                <xdr:row>39</xdr:row>
                <xdr:rowOff>14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fixed capacity payment needs to be confirmed.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8</xdr:rowOff>
              </xdr:from>
              <xdr:to>
                <xdr:col>5</xdr:col>
                <xdr:colOff>8</xdr:colOff>
                <xdr:row>28</xdr:row>
                <xdr:rowOff>12</xdr:rowOff>
              </xdr:to>
            </anchor>
          </commentPr>
        </mc:Choice>
        <mc:Fallback/>
      </mc:AlternateContent>
    </comment>
    <comment ref="C52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Not used curretly-Rate is hard coded on CF page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48</xdr:row>
                <xdr:rowOff>8</xdr:rowOff>
              </xdr:from>
              <xdr:to>
                <xdr:col>7</xdr:col>
                <xdr:colOff>78</xdr:colOff>
                <xdr:row>53</xdr:row>
                <xdr:rowOff>11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Includes land options, circuit breaker options, tower, and circuit  breakers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14</xdr:row>
                <xdr:rowOff>7</xdr:rowOff>
              </xdr:from>
              <xdr:to>
                <xdr:col>19</xdr:col>
                <xdr:colOff>131</xdr:colOff>
                <xdr:row>18</xdr:row>
                <xdr:rowOff>13</xdr:rowOff>
              </xdr:to>
            </anchor>
          </commentPr>
        </mc:Choice>
        <mc:Fallback/>
      </mc:AlternateContent>
    </comment>
    <comment ref="R40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O&amp;M Mobilization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19</xdr:colOff>
                <xdr:row>39</xdr:row>
                <xdr:rowOff>1</xdr:rowOff>
              </xdr:from>
              <xdr:to>
                <xdr:col>16</xdr:col>
                <xdr:colOff>31</xdr:colOff>
                <xdr:row>43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7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Was calculated on units delivered.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21</xdr:row>
                <xdr:rowOff>9</xdr:rowOff>
              </xdr:from>
              <xdr:to>
                <xdr:col>2</xdr:col>
                <xdr:colOff>49</xdr:colOff>
                <xdr:row>25</xdr:row>
                <xdr:rowOff>15</xdr:rowOff>
              </xdr:to>
            </anchor>
          </commentPr>
        </mc:Choice>
        <mc:Fallback/>
      </mc:AlternateContent>
    </comment>
    <comment ref="A35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Pull this from Baseload Neptune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33</xdr:row>
                <xdr:rowOff>7</xdr:rowOff>
              </xdr:from>
              <xdr:to>
                <xdr:col>2</xdr:col>
                <xdr:colOff>50</xdr:colOff>
                <xdr:row>37</xdr:row>
                <xdr:rowOff>13</xdr:rowOff>
              </xdr:to>
            </anchor>
          </commentPr>
        </mc:Choice>
        <mc:Fallback/>
      </mc:AlternateContent>
    </comment>
    <comment ref="A98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Both Coverage ratios add back maintenance expense because there is a reserve for it.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92</xdr:row>
                <xdr:rowOff>13</xdr:rowOff>
              </xdr:from>
              <xdr:to>
                <xdr:col>2</xdr:col>
                <xdr:colOff>101</xdr:colOff>
                <xdr:row>97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<sst xmlns="http://schemas.openxmlformats.org/spreadsheetml/2006/main" count="709" uniqueCount="462">
  <si>
    <t xml:space="preserve">ASSUMPTIONS</t>
  </si>
  <si>
    <t xml:space="preserve"> </t>
  </si>
  <si>
    <t xml:space="preserve">BASE MODEL</t>
  </si>
  <si>
    <t xml:space="preserve">                                                                                       </t>
  </si>
  <si>
    <t xml:space="preserve">Power Line Data</t>
  </si>
  <si>
    <t xml:space="preserve">Taxes</t>
  </si>
  <si>
    <t xml:space="preserve">Amount</t>
  </si>
  <si>
    <t xml:space="preserve">Project and Enron Economics ($000)</t>
  </si>
  <si>
    <t xml:space="preserve">Disc Rate</t>
  </si>
  <si>
    <t xml:space="preserve">IRR</t>
  </si>
  <si>
    <t xml:space="preserve">NPV</t>
  </si>
  <si>
    <t xml:space="preserve">Converge of Numbers</t>
  </si>
  <si>
    <t xml:space="preserve">Values</t>
  </si>
  <si>
    <t xml:space="preserve">Inputs</t>
  </si>
  <si>
    <t xml:space="preserve">Difference</t>
  </si>
  <si>
    <t xml:space="preserve">Capacity</t>
  </si>
  <si>
    <t xml:space="preserve">MW</t>
  </si>
  <si>
    <t xml:space="preserve">Project Company Tax Position</t>
  </si>
  <si>
    <t xml:space="preserve">ASSUME EXEMPT</t>
  </si>
  <si>
    <t xml:space="preserve">Project Costs ($000)</t>
  </si>
  <si>
    <t xml:space="preserve">   IDC </t>
  </si>
  <si>
    <t xml:space="preserve">Availability</t>
  </si>
  <si>
    <t xml:space="preserve">AL/MS Corporate Net Income Tax </t>
  </si>
  <si>
    <t xml:space="preserve">5% or 3%-5%</t>
  </si>
  <si>
    <t xml:space="preserve">  Major Mechanical &amp; Elec. Equip.</t>
  </si>
  <si>
    <t xml:space="preserve">PROJECT</t>
  </si>
  <si>
    <t xml:space="preserve">IRR LOOPFACTOR</t>
  </si>
  <si>
    <t xml:space="preserve">   Withholding Tax on IDC</t>
  </si>
  <si>
    <t xml:space="preserve">Heat Rate</t>
  </si>
  <si>
    <t xml:space="preserve">HHV</t>
  </si>
  <si>
    <t xml:space="preserve">Btu/kWh</t>
  </si>
  <si>
    <t xml:space="preserve">Gross Receipts Tax</t>
  </si>
  <si>
    <t xml:space="preserve">  Electrical Equip.</t>
  </si>
  <si>
    <t xml:space="preserve">Target IRR</t>
  </si>
  <si>
    <t xml:space="preserve">   Financing Costs</t>
  </si>
  <si>
    <t xml:space="preserve">Dispatch </t>
  </si>
  <si>
    <t xml:space="preserve">  Import Duties </t>
  </si>
  <si>
    <t xml:space="preserve">   Commitment Fee</t>
  </si>
  <si>
    <t xml:space="preserve">Line Loss (Cross-Sound Cable Only)</t>
  </si>
  <si>
    <t xml:space="preserve">US Taxes</t>
  </si>
  <si>
    <t xml:space="preserve">   TOTAL POWER PLANT EQUIPMENT, DUTIES &amp; VAT</t>
  </si>
  <si>
    <t xml:space="preserve">Enron </t>
  </si>
  <si>
    <t xml:space="preserve">   Development Fees</t>
  </si>
  <si>
    <t xml:space="preserve">   Enron's Tax Position</t>
  </si>
  <si>
    <t xml:space="preserve">  Operations Mobilization</t>
  </si>
  <si>
    <t xml:space="preserve">Ptr 1 - Other</t>
  </si>
  <si>
    <t xml:space="preserve">   TOTAL PROJECT COSTS</t>
  </si>
  <si>
    <t xml:space="preserve">Project Operations</t>
  </si>
  <si>
    <t xml:space="preserve">   State Corporate Tax</t>
  </si>
  <si>
    <t xml:space="preserve">   TOTAL CONSTRUCTION COSTS</t>
  </si>
  <si>
    <t xml:space="preserve">Ptr 2 - </t>
  </si>
  <si>
    <t xml:space="preserve">   Start of Construction</t>
  </si>
  <si>
    <t xml:space="preserve">   Federal Income Tax</t>
  </si>
  <si>
    <t xml:space="preserve">  Transmission Line</t>
  </si>
  <si>
    <t xml:space="preserve">TOTAL PARTNERS</t>
  </si>
  <si>
    <t xml:space="preserve">   Term of Construction (Mos)</t>
  </si>
  <si>
    <t xml:space="preserve">  Construction Costs</t>
  </si>
  <si>
    <t xml:space="preserve">   Start of Operations - Month / Year</t>
  </si>
  <si>
    <t xml:space="preserve">Depreciation Assumptions</t>
  </si>
  <si>
    <t xml:space="preserve">Basis ($000)</t>
  </si>
  <si>
    <t xml:space="preserve">Life (Yrs)</t>
  </si>
  <si>
    <t xml:space="preserve">Method</t>
  </si>
  <si>
    <t xml:space="preserve">  Transmission Mobilization</t>
  </si>
  <si>
    <t xml:space="preserve">Plus:  Withholding Tax on Dividends</t>
  </si>
  <si>
    <t xml:space="preserve">   Term of Contract (Yrs)</t>
  </si>
  <si>
    <t xml:space="preserve">8 or 10</t>
  </si>
  <si>
    <t xml:space="preserve">   TOTAL TRANSMISSION LINE COSTS</t>
  </si>
  <si>
    <t xml:space="preserve">Plus:  Political Risk Insurance</t>
  </si>
  <si>
    <t xml:space="preserve">   Type of Contract</t>
  </si>
  <si>
    <t xml:space="preserve">BOO</t>
  </si>
  <si>
    <t xml:space="preserve">Tax:</t>
  </si>
  <si>
    <t xml:space="preserve">Asset 1 - Plant</t>
  </si>
  <si>
    <t xml:space="preserve">MACRS</t>
  </si>
  <si>
    <t xml:space="preserve">  Mainline Pipe - 20"</t>
  </si>
  <si>
    <t xml:space="preserve">Less:  Development Fees</t>
  </si>
  <si>
    <t xml:space="preserve">Asset 2 </t>
  </si>
  <si>
    <t xml:space="preserve">S/L</t>
  </si>
  <si>
    <t xml:space="preserve">  Lateral Pipe</t>
  </si>
  <si>
    <t xml:space="preserve">Less:  Tax Cost/(Benefit) on (1)s above</t>
  </si>
  <si>
    <t xml:space="preserve">Pricing</t>
  </si>
  <si>
    <t xml:space="preserve">Escalation</t>
  </si>
  <si>
    <t xml:space="preserve">Asset 3 </t>
  </si>
  <si>
    <t xml:space="preserve">  Pipeline Mobilization</t>
  </si>
  <si>
    <t xml:space="preserve">Sub-total Partner Level Adjustments</t>
  </si>
  <si>
    <t xml:space="preserve">Margin to SOCO/FL</t>
  </si>
  <si>
    <t xml:space="preserve">hardcoded</t>
  </si>
  <si>
    <t xml:space="preserve">   TOTAL PIPELINE COSTS</t>
  </si>
  <si>
    <t xml:space="preserve">Loop Factor</t>
  </si>
  <si>
    <t xml:space="preserve">Lower transmission costs</t>
  </si>
  <si>
    <t xml:space="preserve">Book:</t>
  </si>
  <si>
    <t xml:space="preserve">  IDC (Interest During Construction)</t>
  </si>
  <si>
    <t xml:space="preserve">RECONCILED PROJECT NPV</t>
  </si>
  <si>
    <t xml:space="preserve">Decrease transmission losses</t>
  </si>
  <si>
    <t xml:space="preserve">  Withholding Tax on IDC</t>
  </si>
  <si>
    <t xml:space="preserve">Unlocated Difference</t>
  </si>
  <si>
    <t xml:space="preserve">Capacity Payments:</t>
  </si>
  <si>
    <t xml:space="preserve">  Financing Costs</t>
  </si>
  <si>
    <t xml:space="preserve">Fixed Capacity </t>
  </si>
  <si>
    <t xml:space="preserve"> /kW-Mon</t>
  </si>
  <si>
    <t xml:space="preserve">  Misc Lenders' Expenses</t>
  </si>
  <si>
    <t xml:space="preserve">DS Coverage Ratios:</t>
  </si>
  <si>
    <t xml:space="preserve">Pre-Tax</t>
  </si>
  <si>
    <t xml:space="preserve">After-Tax</t>
  </si>
  <si>
    <t xml:space="preserve">   (includes ROE, Taxes, Debt Service, Fixed O&amp;M)</t>
  </si>
  <si>
    <t xml:space="preserve">US GAAP:</t>
  </si>
  <si>
    <t xml:space="preserve">  Commitment Fee</t>
  </si>
  <si>
    <t xml:space="preserve">         Minimum</t>
  </si>
  <si>
    <t xml:space="preserve">Target</t>
  </si>
  <si>
    <t xml:space="preserve">Energy (Variable) Payments:</t>
  </si>
  <si>
    <t xml:space="preserve">  Bank Environmental Consultant</t>
  </si>
  <si>
    <t xml:space="preserve">         Average</t>
  </si>
  <si>
    <t xml:space="preserve">Variable O&amp;M</t>
  </si>
  <si>
    <t xml:space="preserve"> /kWh</t>
  </si>
  <si>
    <t xml:space="preserve">  Bank Independent Engineer</t>
  </si>
  <si>
    <t xml:space="preserve">Misc</t>
  </si>
  <si>
    <t xml:space="preserve">  Completion Bond</t>
  </si>
  <si>
    <t xml:space="preserve">Financing ($000)</t>
  </si>
  <si>
    <t xml:space="preserve">Other</t>
  </si>
  <si>
    <t xml:space="preserve">Project Ownership </t>
  </si>
  <si>
    <t xml:space="preserve">% of Equity</t>
  </si>
  <si>
    <t xml:space="preserve">% of Cash Flow</t>
  </si>
  <si>
    <t xml:space="preserve">Equity $s</t>
  </si>
  <si>
    <t xml:space="preserve">  Overheads</t>
  </si>
  <si>
    <t xml:space="preserve">W Avg Cost of Financing...</t>
  </si>
  <si>
    <t xml:space="preserve">All-in-Cost</t>
  </si>
  <si>
    <t xml:space="preserve">Cents/kWh</t>
  </si>
  <si>
    <t xml:space="preserve">Enron</t>
  </si>
  <si>
    <t xml:space="preserve">  Insurance -Builders Risk (30 BP on Total Cost)  and delay of operation (.25 of 1st yr DS)</t>
  </si>
  <si>
    <t xml:space="preserve">Cost of Funds</t>
  </si>
  <si>
    <t xml:space="preserve">Margin</t>
  </si>
  <si>
    <t xml:space="preserve">   Total</t>
  </si>
  <si>
    <t xml:space="preserve">  Permits &amp; Licenses</t>
  </si>
  <si>
    <t xml:space="preserve">   Tranche 1:</t>
  </si>
  <si>
    <t xml:space="preserve">1=SL 2=MTG</t>
  </si>
  <si>
    <t xml:space="preserve">Conn. Existing Line Data Only</t>
  </si>
  <si>
    <t xml:space="preserve">  Legal Fees </t>
  </si>
  <si>
    <t xml:space="preserve">         Amount</t>
  </si>
  <si>
    <t xml:space="preserve">   TOTAL THIRD PARTY DEVMT/FINANCING COSTS</t>
  </si>
  <si>
    <t xml:space="preserve">         Term - Years</t>
  </si>
  <si>
    <t xml:space="preserve">  Development Fees</t>
  </si>
  <si>
    <t xml:space="preserve">         Average Life of Loan (including Construction)</t>
  </si>
  <si>
    <t xml:space="preserve">Historical Dispatch</t>
  </si>
  <si>
    <t xml:space="preserve">  Development Costs</t>
  </si>
  <si>
    <t xml:space="preserve">         Grace Period  (excluding construction)</t>
  </si>
  <si>
    <t xml:space="preserve">Payments</t>
  </si>
  <si>
    <t xml:space="preserve">Line Losses Before Upgrade</t>
  </si>
  <si>
    <t xml:space="preserve">  Financial Advisor</t>
  </si>
  <si>
    <t xml:space="preserve">         Rate </t>
  </si>
  <si>
    <t xml:space="preserve">Line Losses After Upgrade</t>
  </si>
  <si>
    <t xml:space="preserve">  Profit</t>
  </si>
  <si>
    <t xml:space="preserve">         Financing Fees</t>
  </si>
  <si>
    <t xml:space="preserve">  Commission &amp; Startup (Operator)</t>
  </si>
  <si>
    <t xml:space="preserve">         Commitment Fees</t>
  </si>
  <si>
    <t xml:space="preserve">Operating Expenses ($000)</t>
  </si>
  <si>
    <t xml:space="preserve">CPI Rate: </t>
  </si>
  <si>
    <t xml:space="preserve">   TOTAL ENRON COSTS</t>
  </si>
  <si>
    <t xml:space="preserve">   Tranche 2:</t>
  </si>
  <si>
    <t xml:space="preserve">  Vendor Reps</t>
  </si>
  <si>
    <t xml:space="preserve">         Amount </t>
  </si>
  <si>
    <t xml:space="preserve">(U.S. Content)</t>
  </si>
  <si>
    <t xml:space="preserve">Fixed:</t>
  </si>
  <si>
    <t xml:space="preserve">  Owner's Engineer Services</t>
  </si>
  <si>
    <t xml:space="preserve">Miscellaneous O&amp;M</t>
  </si>
  <si>
    <t xml:space="preserve">   TOTAL TURNKEY OTHER COSTS</t>
  </si>
  <si>
    <t xml:space="preserve">Miscellaneous G&amp;A</t>
  </si>
  <si>
    <t xml:space="preserve">  Working Capital</t>
  </si>
  <si>
    <t xml:space="preserve">Maintenance Reserve</t>
  </si>
  <si>
    <t xml:space="preserve">  Spare Parts &amp; Other Costs</t>
  </si>
  <si>
    <t xml:space="preserve">Plant Insurance</t>
  </si>
  <si>
    <t xml:space="preserve">  Spare Parts - Duties</t>
  </si>
  <si>
    <t xml:space="preserve">Payroll</t>
  </si>
  <si>
    <t xml:space="preserve">  Spare Parts - VAT</t>
  </si>
  <si>
    <t xml:space="preserve">Spare Parts </t>
  </si>
  <si>
    <t xml:space="preserve">   TOTAL OTHER COSTS</t>
  </si>
  <si>
    <t xml:space="preserve">   Tranche 3: Other</t>
  </si>
  <si>
    <t xml:space="preserve">Water &amp; Chemicals</t>
  </si>
  <si>
    <t xml:space="preserve">  Contingency -  </t>
  </si>
  <si>
    <t xml:space="preserve">Plant Operations (O&amp;M Fee)</t>
  </si>
  <si>
    <t xml:space="preserve">  Contingency -</t>
  </si>
  <si>
    <t xml:space="preserve">Transmission Capacity Pmt.</t>
  </si>
  <si>
    <t xml:space="preserve">Pipeline Operations</t>
  </si>
  <si>
    <t xml:space="preserve">   TOTAL CONTINGENCY</t>
  </si>
  <si>
    <t xml:space="preserve">         Rate</t>
  </si>
  <si>
    <t xml:space="preserve">Property Tax</t>
  </si>
  <si>
    <t xml:space="preserve">Total Fixed O&amp;M</t>
  </si>
  <si>
    <t xml:space="preserve">   TOTAL PROJECT COSTS ($/kw)</t>
  </si>
  <si>
    <t xml:space="preserve">   Tranche 4: Other</t>
  </si>
  <si>
    <t xml:space="preserve">Variable:</t>
  </si>
  <si>
    <t xml:space="preserve">Power Cost</t>
  </si>
  <si>
    <t xml:space="preserve">Maintenance Excluding (Major Maint)</t>
  </si>
  <si>
    <t xml:space="preserve">         Rate (5 Yr)</t>
  </si>
  <si>
    <t xml:space="preserve">Interest on Maintenance Reserve Account</t>
  </si>
  <si>
    <t xml:space="preserve">   Tranche 5: Other</t>
  </si>
  <si>
    <t xml:space="preserve">   Tranche 6: Other</t>
  </si>
  <si>
    <t xml:space="preserve">   Debt/Equity Structure</t>
  </si>
  <si>
    <t xml:space="preserve">(pari-passu, equity last, etc.)</t>
  </si>
  <si>
    <t xml:space="preserve">   Debt</t>
  </si>
  <si>
    <t xml:space="preserve">   Equity</t>
  </si>
  <si>
    <t xml:space="preserve">   Total Investment</t>
  </si>
  <si>
    <t xml:space="preserve">:pss9~qlbcaqqrsROI~g</t>
  </si>
  <si>
    <t xml:space="preserve">:pss10~qlbcaqqrsNDC~g</t>
  </si>
  <si>
    <t xml:space="preserve">:pss11~qlbcaqqrsFIN~g</t>
  </si>
  <si>
    <t xml:space="preserve">CASH FLOW - PROJECT</t>
  </si>
  <si>
    <t xml:space="preserve">Current Year</t>
  </si>
  <si>
    <t xml:space="preserve">Calendar Year</t>
  </si>
  <si>
    <t xml:space="preserve">Totals</t>
  </si>
  <si>
    <t xml:space="preserve">Months of Operation</t>
  </si>
  <si>
    <t xml:space="preserve">Capacity (MW) - Gross</t>
  </si>
  <si>
    <t xml:space="preserve">Units Produced (MWhr)</t>
  </si>
  <si>
    <t xml:space="preserve">Units Delivered (MWhr) --Line Loss</t>
  </si>
  <si>
    <t xml:space="preserve">REVENUES:</t>
  </si>
  <si>
    <t xml:space="preserve">Fixed Payments:</t>
  </si>
  <si>
    <t xml:space="preserve">Based on Units Produced</t>
  </si>
  <si>
    <t xml:space="preserve">Variable O&amp;M+Acquired Power</t>
  </si>
  <si>
    <t xml:space="preserve">     Total Variable Payments</t>
  </si>
  <si>
    <t xml:space="preserve">Interest Income</t>
  </si>
  <si>
    <t xml:space="preserve">         TOTAL REVENUES (+int inc.)</t>
  </si>
  <si>
    <t xml:space="preserve">Calculated on Units Delivered (after Line Loss)</t>
  </si>
  <si>
    <t xml:space="preserve">Fixed Payment</t>
  </si>
  <si>
    <t xml:space="preserve">     Replacement Power Cost</t>
  </si>
  <si>
    <t xml:space="preserve">         All-In Tariff (c/kWh)</t>
  </si>
  <si>
    <t xml:space="preserve">New Plant/Upgrade Comparison</t>
  </si>
  <si>
    <t xml:space="preserve">   New Plant All in Power Cost (c/kWh)</t>
  </si>
  <si>
    <t xml:space="preserve">   Upgrade All in Power Cost (c/kWh)</t>
  </si>
  <si>
    <t xml:space="preserve">Differential</t>
  </si>
  <si>
    <t xml:space="preserve">PV 10</t>
  </si>
  <si>
    <t xml:space="preserve">EXPENSES:</t>
  </si>
  <si>
    <t xml:space="preserve">Grid compensation for losses</t>
  </si>
  <si>
    <t xml:space="preserve">NEPOOL Generation Curve (MWhr) MID</t>
  </si>
  <si>
    <t xml:space="preserve">Losses (MW)</t>
  </si>
  <si>
    <t xml:space="preserve">Operation and Maintenance:</t>
  </si>
  <si>
    <t xml:space="preserve">Fixed O&amp;M:</t>
  </si>
  <si>
    <t xml:space="preserve">Variable O&amp;M:</t>
  </si>
  <si>
    <t xml:space="preserve">Total Variable O&amp;M</t>
  </si>
  <si>
    <t xml:space="preserve">     Total Operations &amp; Maintenance</t>
  </si>
  <si>
    <t xml:space="preserve">          TOTAL EXPENSES</t>
  </si>
  <si>
    <t xml:space="preserve">Total O&amp;M (c/kWh)</t>
  </si>
  <si>
    <t xml:space="preserve">Project Earnings Before Depr, Int &amp; Taxes (EBDIT)</t>
  </si>
  <si>
    <t xml:space="preserve">=D25-D70</t>
  </si>
  <si>
    <t xml:space="preserve">   Less:  Book Depreciation Expense</t>
  </si>
  <si>
    <t xml:space="preserve">Earnings Before Int &amp; Taxes (EBIT)</t>
  </si>
  <si>
    <t xml:space="preserve">   Less:  Interest Expense (before W/H Tax)</t>
  </si>
  <si>
    <t xml:space="preserve">   Less:  Withholding Tax - Interest Payments Abroad</t>
  </si>
  <si>
    <t xml:space="preserve">Earnings Before Taxes (EBT)</t>
  </si>
  <si>
    <t xml:space="preserve">  Less:  Book Provision for Income Taxes</t>
  </si>
  <si>
    <t xml:space="preserve">PROJECT BOOK INCOME</t>
  </si>
  <si>
    <t xml:space="preserve">Plus:  Book Depreciation</t>
  </si>
  <si>
    <t xml:space="preserve">Plus:  Spare Parts</t>
  </si>
  <si>
    <t xml:space="preserve">Plus:  VAT Refund</t>
  </si>
  <si>
    <t xml:space="preserve">Plus:  Liquidation Proceeds</t>
  </si>
  <si>
    <t xml:space="preserve">(Working Capital)</t>
  </si>
  <si>
    <t xml:space="preserve">Plus:  Book Provision for Income Taxes</t>
  </si>
  <si>
    <t xml:space="preserve">Less:  Major Maintenance Margin</t>
  </si>
  <si>
    <t xml:space="preserve">Major Maintenance Margin Adjustment</t>
  </si>
  <si>
    <t xml:space="preserve">Less:  Cash Taxes</t>
  </si>
  <si>
    <t xml:space="preserve">Less:  Principal Payments</t>
  </si>
  <si>
    <t xml:space="preserve">NET A-T CASH FLOW DISTRIBUTED</t>
  </si>
  <si>
    <t xml:space="preserve">Pre-Tax Debt Coverage</t>
  </si>
  <si>
    <t xml:space="preserve">(EBDIT/(Debt Serv+W/H Tax))</t>
  </si>
  <si>
    <t xml:space="preserve">After-Tax Debt Coverage</t>
  </si>
  <si>
    <t xml:space="preserve">((EBDIT-Taxes)/(Debt Serv+W/H Tax))</t>
  </si>
  <si>
    <t xml:space="preserve">RETURNS</t>
  </si>
  <si>
    <t xml:space="preserve">Current Year </t>
  </si>
  <si>
    <t xml:space="preserve">PROJECT RETURNS</t>
  </si>
  <si>
    <t xml:space="preserve">Equity Injection</t>
  </si>
  <si>
    <t xml:space="preserve">Net A-T Cash Flow</t>
  </si>
  <si>
    <t xml:space="preserve">Total Cash Flow</t>
  </si>
  <si>
    <t xml:space="preserve">20 Year Running NPV</t>
  </si>
  <si>
    <t xml:space="preserve">20 Year Running IRR</t>
  </si>
  <si>
    <t xml:space="preserve">Project NPV                       discount rate =</t>
  </si>
  <si>
    <t xml:space="preserve">Project IRR</t>
  </si>
  <si>
    <t xml:space="preserve">Discounted Payback Year</t>
  </si>
  <si>
    <t xml:space="preserve">ENRON RETURNS</t>
  </si>
  <si>
    <t xml:space="preserve">Less:  Withholding Tax - Dividends</t>
  </si>
  <si>
    <t xml:space="preserve">Less:  Political Risk Insurance</t>
  </si>
  <si>
    <t xml:space="preserve">(1)</t>
  </si>
  <si>
    <t xml:space="preserve">Plus:  Development Fees</t>
  </si>
  <si>
    <t xml:space="preserve">Less:  Tax Cost/(Benefit) on (1)s Above</t>
  </si>
  <si>
    <t xml:space="preserve">Enron NPV                         discount rate =</t>
  </si>
  <si>
    <t xml:space="preserve">Enron IRR</t>
  </si>
  <si>
    <t xml:space="preserve">PTNR 1 RETURNS</t>
  </si>
  <si>
    <t xml:space="preserve">Partner 1 NPV                   discount rate =</t>
  </si>
  <si>
    <t xml:space="preserve">Partner 1 IRR</t>
  </si>
  <si>
    <t xml:space="preserve">PARTNER 2 RETURNS</t>
  </si>
  <si>
    <t xml:space="preserve">Partner 2 NPV                   discount rate =</t>
  </si>
  <si>
    <t xml:space="preserve">Partner 2 IRR</t>
  </si>
  <si>
    <t xml:space="preserve">DRAWDOWN SCHEDULE</t>
  </si>
  <si>
    <t xml:space="preserve">Total Cost Excluding IDC</t>
  </si>
  <si>
    <t xml:space="preserve">PROJECT COSTS</t>
  </si>
  <si>
    <t xml:space="preserve">Monthly</t>
  </si>
  <si>
    <t xml:space="preserve">Cumulative</t>
  </si>
  <si>
    <t xml:space="preserve">Description</t>
  </si>
  <si>
    <t xml:space="preserve">% of</t>
  </si>
  <si>
    <t xml:space="preserve">Cost</t>
  </si>
  <si>
    <t xml:space="preserve">Month</t>
  </si>
  <si>
    <t xml:space="preserve">of Activity</t>
  </si>
  <si>
    <t xml:space="preserve">Total Cost</t>
  </si>
  <si>
    <t xml:space="preserve">($ 000's)</t>
  </si>
  <si>
    <t xml:space="preserve">Start of Construction</t>
  </si>
  <si>
    <t xml:space="preserve">TOTAL</t>
  </si>
  <si>
    <t xml:space="preserve">INTEREST DURING CONSTRUCTION</t>
  </si>
  <si>
    <t xml:space="preserve">Current Month</t>
  </si>
  <si>
    <t xml:space="preserve">Calendar Month</t>
  </si>
  <si>
    <t xml:space="preserve">(excl IDC)</t>
  </si>
  <si>
    <t xml:space="preserve">Total</t>
  </si>
  <si>
    <t xml:space="preserve">Project Cost</t>
  </si>
  <si>
    <t xml:space="preserve">Interest Rate</t>
  </si>
  <si>
    <t xml:space="preserve">Debt/Equity Structure</t>
  </si>
  <si>
    <t xml:space="preserve">Construction Balance</t>
  </si>
  <si>
    <t xml:space="preserve">Beginning Construction Balance</t>
  </si>
  <si>
    <t xml:space="preserve">Construction Drawdown</t>
  </si>
  <si>
    <t xml:space="preserve">Interest During Construction</t>
  </si>
  <si>
    <t xml:space="preserve">Ending Construction Balance</t>
  </si>
  <si>
    <t xml:space="preserve">  Cumulative % complete (excl IDC &amp; Prepayment)</t>
  </si>
  <si>
    <t xml:space="preserve">  All-In Cumulative % Complete (excl Prepayment)</t>
  </si>
  <si>
    <t xml:space="preserve">Debt Balance</t>
  </si>
  <si>
    <t xml:space="preserve">Beginning Debt Balance</t>
  </si>
  <si>
    <t xml:space="preserve">Plus:  Debt Proceeds</t>
  </si>
  <si>
    <t xml:space="preserve">Pus:  Interest During Construction - Debt Only</t>
  </si>
  <si>
    <t xml:space="preserve">Ending Balance Debt Only</t>
  </si>
  <si>
    <t xml:space="preserve">Interest During Construction - Monthly</t>
  </si>
  <si>
    <t xml:space="preserve">Cumulative Interest During Construction</t>
  </si>
  <si>
    <t xml:space="preserve">Withholding Tax on Interest</t>
  </si>
  <si>
    <t xml:space="preserve">Equity Balance</t>
  </si>
  <si>
    <t xml:space="preserve">Beginning Equity Balance</t>
  </si>
  <si>
    <t xml:space="preserve">Plus:  Equity Proceeds</t>
  </si>
  <si>
    <t xml:space="preserve">Plus:  Interest During Construction - Equity Only</t>
  </si>
  <si>
    <t xml:space="preserve">Ending Equity Balance</t>
  </si>
  <si>
    <t xml:space="preserve">Total Interest During Construction</t>
  </si>
  <si>
    <t xml:space="preserve">Total Withholding Tax on Interest</t>
  </si>
  <si>
    <t xml:space="preserve">FINANCING</t>
  </si>
  <si>
    <t xml:space="preserve">Totals  </t>
  </si>
  <si>
    <t xml:space="preserve">DEBT SERVICE</t>
  </si>
  <si>
    <t xml:space="preserve">   Interest</t>
  </si>
  <si>
    <t xml:space="preserve">   Principal</t>
  </si>
  <si>
    <t xml:space="preserve">         Total Debt Service</t>
  </si>
  <si>
    <t xml:space="preserve">PRINCIPAL</t>
  </si>
  <si>
    <t xml:space="preserve">REPAYMENT</t>
  </si>
  <si>
    <t xml:space="preserve">Term </t>
  </si>
  <si>
    <t xml:space="preserve">Years</t>
  </si>
  <si>
    <t xml:space="preserve">Grace Period:</t>
  </si>
  <si>
    <t xml:space="preserve">Year</t>
  </si>
  <si>
    <t xml:space="preserve">Period</t>
  </si>
  <si>
    <t xml:space="preserve">Begin Bal</t>
  </si>
  <si>
    <t xml:space="preserve">Interest</t>
  </si>
  <si>
    <t xml:space="preserve">Principal</t>
  </si>
  <si>
    <t xml:space="preserve">End Bal</t>
  </si>
  <si>
    <t xml:space="preserve">TOTALS</t>
  </si>
  <si>
    <t xml:space="preserve">CASH TAXES, COMMITMENT FEE</t>
  </si>
  <si>
    <t xml:space="preserve">CASH TAXES</t>
  </si>
  <si>
    <t xml:space="preserve">  EBDIT</t>
  </si>
  <si>
    <t xml:space="preserve">  Less:  Tax Depreciation</t>
  </si>
  <si>
    <t xml:space="preserve">  Less:  Interest Expense (before W/H Tax)</t>
  </si>
  <si>
    <t xml:space="preserve">  Less:  Withholding Tax - Interest Payments Abroad</t>
  </si>
  <si>
    <t xml:space="preserve">  Taxable Income</t>
  </si>
  <si>
    <t xml:space="preserve">  Times:  Tax Rate</t>
  </si>
  <si>
    <t xml:space="preserve">TOTAL CASH TAXES PAID</t>
  </si>
  <si>
    <t xml:space="preserve">COMMITMENT FEE </t>
  </si>
  <si>
    <t xml:space="preserve">Plus</t>
  </si>
  <si>
    <t xml:space="preserve">Less</t>
  </si>
  <si>
    <t xml:space="preserve">Beginning</t>
  </si>
  <si>
    <t xml:space="preserve">Ending</t>
  </si>
  <si>
    <t xml:space="preserve">Commitment</t>
  </si>
  <si>
    <t xml:space="preserve">Weighted Avg</t>
  </si>
  <si>
    <t xml:space="preserve">Committed $'s</t>
  </si>
  <si>
    <t xml:space="preserve">Committed</t>
  </si>
  <si>
    <t xml:space="preserve">Advanced</t>
  </si>
  <si>
    <t xml:space="preserve">Fee</t>
  </si>
  <si>
    <t xml:space="preserve">Fee Rate</t>
  </si>
  <si>
    <t xml:space="preserve">Total Commitment Fee</t>
  </si>
  <si>
    <t xml:space="preserve">DEPRECIATION CALCULATIONS</t>
  </si>
  <si>
    <t xml:space="preserve">=IF(ASS!$J$23=0, 0,IF(F12&lt;ASS!$J$23+1, SLN(ASS!$I$23,0,ASS!$J$23)*F14/12, IF(F12=ASS!$J$23+1, SLN(ASS!$I$23,0,ASS!$J$23)*(12-F14)/12, 0)))</t>
  </si>
  <si>
    <t xml:space="preserve">=IF(ASS!$J$23=0, 0, IF(G12=ASS!$J$23,$E$18-SUM($F$18:F18),IF(G12&gt;TERM,0,IF(G12&lt;ASS!$J$23+1, SLN(ASS!$I$23,0,ASS!$J$23)*G14/12, IF(G12=ASS!$J$23+1, SLN(ASS!$I$23,0,ASS!$J$23)*(12-G14)/12, 0)))))</t>
  </si>
  <si>
    <t xml:space="preserve">Tax</t>
  </si>
  <si>
    <t xml:space="preserve">Book</t>
  </si>
  <si>
    <t xml:space="preserve">US GAAP</t>
  </si>
  <si>
    <t xml:space="preserve">Total Project Cost</t>
  </si>
  <si>
    <t xml:space="preserve">Less:  VAT to be Refunded</t>
  </si>
  <si>
    <t xml:space="preserve">Less:  Spare Parts</t>
  </si>
  <si>
    <t xml:space="preserve">MACRS Schedule</t>
  </si>
  <si>
    <t xml:space="preserve">Less:  Working Capital</t>
  </si>
  <si>
    <t xml:space="preserve">Total Depreciable Basis</t>
  </si>
  <si>
    <t xml:space="preserve">Tax Depreciation:</t>
  </si>
  <si>
    <t xml:space="preserve">Original</t>
  </si>
  <si>
    <t xml:space="preserve">Current Tax Depreciation:</t>
  </si>
  <si>
    <t xml:space="preserve">Basis  </t>
  </si>
  <si>
    <t xml:space="preserve">Total Current Tax Depreciation</t>
  </si>
  <si>
    <t xml:space="preserve">Accumulated Tax Depreciation</t>
  </si>
  <si>
    <t xml:space="preserve">Beginning Tax Basis</t>
  </si>
  <si>
    <t xml:space="preserve">Plus:  New Additions</t>
  </si>
  <si>
    <t xml:space="preserve">Less: Current Depreciation</t>
  </si>
  <si>
    <t xml:space="preserve">Ending Tax Basis</t>
  </si>
  <si>
    <t xml:space="preserve">Book Depreciation:</t>
  </si>
  <si>
    <t xml:space="preserve">Current Book Depreciation:</t>
  </si>
  <si>
    <t xml:space="preserve">Total Current Book Depreciation</t>
  </si>
  <si>
    <t xml:space="preserve">Accumulated Book Depreciation</t>
  </si>
  <si>
    <t xml:space="preserve">Beginning Book Basis</t>
  </si>
  <si>
    <t xml:space="preserve">Ending Book Basis</t>
  </si>
  <si>
    <t xml:space="preserve">US GAAP Depreciation:</t>
  </si>
  <si>
    <t xml:space="preserve">BALANCE SHEET</t>
  </si>
  <si>
    <t xml:space="preserve">Opening</t>
  </si>
  <si>
    <t xml:space="preserve">Balance</t>
  </si>
  <si>
    <t xml:space="preserve">Assets:</t>
  </si>
  <si>
    <t xml:space="preserve">Cash and cash equivalents</t>
  </si>
  <si>
    <t xml:space="preserve">Accounts Receivable</t>
  </si>
  <si>
    <t xml:space="preserve">Inventory</t>
  </si>
  <si>
    <t xml:space="preserve">Construction in progress</t>
  </si>
  <si>
    <t xml:space="preserve">Property, plant and equipment</t>
  </si>
  <si>
    <t xml:space="preserve">Accumulated depreciation</t>
  </si>
  <si>
    <t xml:space="preserve">Property, plant, and equipment, net</t>
  </si>
  <si>
    <t xml:space="preserve">Land</t>
  </si>
  <si>
    <t xml:space="preserve">Total Assets</t>
  </si>
  <si>
    <t xml:space="preserve">Liabilities:</t>
  </si>
  <si>
    <t xml:space="preserve">Accounts Payable</t>
  </si>
  <si>
    <t xml:space="preserve">Interest Payable</t>
  </si>
  <si>
    <t xml:space="preserve">Income taxes payable</t>
  </si>
  <si>
    <t xml:space="preserve">Deferred Taxes</t>
  </si>
  <si>
    <t xml:space="preserve">Long-term debt</t>
  </si>
  <si>
    <t xml:space="preserve">Other liabilities</t>
  </si>
  <si>
    <t xml:space="preserve">Total liabilities</t>
  </si>
  <si>
    <t xml:space="preserve">Stockholders' equity:</t>
  </si>
  <si>
    <t xml:space="preserve">Capital Stock</t>
  </si>
  <si>
    <t xml:space="preserve">Dividends</t>
  </si>
  <si>
    <t xml:space="preserve">Retained earnings</t>
  </si>
  <si>
    <t xml:space="preserve">Total stockholders' equity</t>
  </si>
  <si>
    <t xml:space="preserve">Total liabilities and stockholders' equity</t>
  </si>
  <si>
    <t xml:space="preserve">Balance Check:</t>
  </si>
  <si>
    <t xml:space="preserve">INCOME STATEMENT</t>
  </si>
  <si>
    <t xml:space="preserve">Sales/Revenues (includes int. inc.)</t>
  </si>
  <si>
    <t xml:space="preserve">=CF!D25</t>
  </si>
  <si>
    <t xml:space="preserve">Fixed O&amp;M</t>
  </si>
  <si>
    <t xml:space="preserve">Fuel expense</t>
  </si>
  <si>
    <t xml:space="preserve">Depreciation</t>
  </si>
  <si>
    <t xml:space="preserve">Interest expense</t>
  </si>
  <si>
    <t xml:space="preserve">Total expenses</t>
  </si>
  <si>
    <t xml:space="preserve">Income before income taxes</t>
  </si>
  <si>
    <t xml:space="preserve">Provision for income taxes (income &amp; surtax)</t>
  </si>
  <si>
    <t xml:space="preserve">Credits against taxes (VAT)</t>
  </si>
  <si>
    <t xml:space="preserve">Net income</t>
  </si>
  <si>
    <t xml:space="preserve">STATEMENT OF CASH FLOWS</t>
  </si>
  <si>
    <t xml:space="preserve">Cash flows from operating activities:</t>
  </si>
  <si>
    <t xml:space="preserve">Cash received from customers</t>
  </si>
  <si>
    <t xml:space="preserve">Cash paid to suppliers and employees</t>
  </si>
  <si>
    <t xml:space="preserve">Spare Parts</t>
  </si>
  <si>
    <t xml:space="preserve">Major Maintenance Reserve</t>
  </si>
  <si>
    <t xml:space="preserve">Interest paid</t>
  </si>
  <si>
    <t xml:space="preserve">Income taxes paid</t>
  </si>
  <si>
    <t xml:space="preserve">Net cash provided by operating activities</t>
  </si>
  <si>
    <t xml:space="preserve">Cash flows from financing activities:</t>
  </si>
  <si>
    <t xml:space="preserve">Principal payments under long-term debt obligations</t>
  </si>
  <si>
    <t xml:space="preserve">Proceeds from issuance of long-term debt</t>
  </si>
  <si>
    <t xml:space="preserve">Proceeds from refinancing of long-term debt</t>
  </si>
  <si>
    <t xml:space="preserve">Loans to Shareholders - Trapped Cash</t>
  </si>
  <si>
    <t xml:space="preserve">Loans to Shareholders - Legal Reserve</t>
  </si>
  <si>
    <t xml:space="preserve">Interest Income - Loans to Shareholders</t>
  </si>
  <si>
    <t xml:space="preserve">Increase/(Decrease) in Labor Liability</t>
  </si>
  <si>
    <t xml:space="preserve">Capital contributions</t>
  </si>
  <si>
    <t xml:space="preserve">Dividends paid</t>
  </si>
  <si>
    <t xml:space="preserve">Net cash provided by financing activities</t>
  </si>
  <si>
    <t xml:space="preserve">Net increase in cash and cash equivalents</t>
  </si>
  <si>
    <t xml:space="preserve">Cash and cash equivalents at beginning of year</t>
  </si>
  <si>
    <t xml:space="preserve">Cash and cash equivalents at end of year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</si>
</sst>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[$-409]#,##0_);\(#,##0\)"/>
    <numFmt numFmtId="167" formatCode="0%"/>
    <numFmt numFmtId="168" formatCode="0.00%"/>
    <numFmt numFmtId="169" formatCode="\$#,##0_);[RED]&quot;($&quot;#,##0\)"/>
    <numFmt numFmtId="170" formatCode="#,##0"/>
    <numFmt numFmtId="171" formatCode="[$-409]d\-mmm"/>
    <numFmt numFmtId="172" formatCode=";;;"/>
    <numFmt numFmtId="173" formatCode="[$-409]#,##0_);[RED]\(#,##0\)"/>
    <numFmt numFmtId="174" formatCode="\$#,##0.00_);&quot;($&quot;#,##0.00\)"/>
    <numFmt numFmtId="175" formatCode="0.00"/>
    <numFmt numFmtId="176" formatCode="\$#,##0.0000_);[RED]&quot;($&quot;#,##0.0000\)"/>
    <numFmt numFmtId="177" formatCode="_(* #,##0.00_);_(* \(#,##0.00\);_(* \-??_);_(@_)"/>
    <numFmt numFmtId="178" formatCode="_(* #,##0.0000_);_(* \(#,##0.0000\);_(* \-??_);_(@_)"/>
    <numFmt numFmtId="179" formatCode="_(* #,##0_);_(* \(#,##0\);_(* \-??_);_(@_)"/>
    <numFmt numFmtId="180" formatCode="\$#,##0.00_);[RED]&quot;($&quot;#,##0.00\)"/>
    <numFmt numFmtId="181" formatCode="0"/>
    <numFmt numFmtId="182" formatCode="#,##0.000"/>
    <numFmt numFmtId="183" formatCode="0.000"/>
    <numFmt numFmtId="184" formatCode="#,##0.000_);\(#,##0.000\)"/>
    <numFmt numFmtId="185" formatCode="mm/dd/yy"/>
    <numFmt numFmtId="186" formatCode="0.0%"/>
    <numFmt numFmtId="187" formatCode="[$-409]mmm\-yy"/>
    <numFmt numFmtId="188" formatCode="0.000%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  <font>
      <sz val="10"/>
      <color rgb="FF3333CC"/>
      <name val="Times New Roman"/>
      <family val="1"/>
    </font>
    <font>
      <i val="true"/>
      <sz val="10"/>
      <name val="Times New Roman"/>
      <family val="0"/>
    </font>
    <font>
      <i val="true"/>
      <sz val="8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Arial"/>
      <family val="2"/>
    </font>
    <font>
      <sz val="8"/>
      <name val="Times New Roman"/>
      <family val="1"/>
    </font>
    <font>
      <b val="true"/>
      <u val="single"/>
      <sz val="8"/>
      <name val="Times New Roman"/>
      <family val="1"/>
    </font>
    <font>
      <u val="single"/>
      <sz val="8"/>
      <name val="Times New Roman"/>
      <family val="1"/>
    </font>
    <font>
      <u val="single"/>
      <sz val="10"/>
      <color rgb="FF3333CC"/>
      <name val="Times New Roman"/>
      <family val="1"/>
    </font>
    <font>
      <sz val="6"/>
      <name val="Times New Roman"/>
      <family val="1"/>
    </font>
    <font>
      <u val="doub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Times New Roman"/>
      <family val="1"/>
    </font>
    <font>
      <b val="true"/>
      <u val="single"/>
      <sz val="10"/>
      <name val="Times New Roman"/>
      <family val="0"/>
    </font>
    <font>
      <sz val="10"/>
      <color rgb="FF000000"/>
      <name val="Times New Roman"/>
      <family val="1"/>
    </font>
    <font>
      <sz val="10"/>
      <color rgb="FFFF0000"/>
      <name val="Times New Roman"/>
      <family val="0"/>
    </font>
    <font>
      <u val="single"/>
      <sz val="10"/>
      <name val="Times New Roman"/>
      <family val="0"/>
    </font>
    <font>
      <i val="true"/>
      <sz val="10"/>
      <name val="Arial"/>
      <family val="0"/>
    </font>
    <font>
      <u val="single"/>
      <sz val="10"/>
      <color rgb="FFFF0000"/>
      <name val="Times New Roman"/>
      <family val="0"/>
    </font>
    <font>
      <u val="single"/>
      <sz val="10"/>
      <color rgb="FF0000FF"/>
      <name val="Times New Roman"/>
      <family val="1"/>
    </font>
    <font>
      <u val="double"/>
      <sz val="10"/>
      <color rgb="FF0000F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A6CAF0"/>
        <bgColor rgb="FFCCCC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6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" fillId="6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674640</xdr:colOff>
          <xdr:row>0</xdr:row>
          <xdr:rowOff>19080</xdr:rowOff>
        </xdr:from>
        <xdr:to>
          <xdr:col>2</xdr:col>
          <xdr:colOff>51120</xdr:colOff>
          <xdr:row>1</xdr:row>
          <xdr:rowOff>152280</xdr:rowOff>
        </xdr:to>
        <xdr:sp>
          <xdr:nvSpPr>
            <xdr:cNvPr id="1001" name="Button 1" descr="CONVER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CONVERGE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150840</xdr:colOff>
          <xdr:row>0</xdr:row>
          <xdr:rowOff>9360</xdr:rowOff>
        </xdr:from>
        <xdr:to>
          <xdr:col>1</xdr:col>
          <xdr:colOff>525600</xdr:colOff>
          <xdr:row>1</xdr:row>
          <xdr:rowOff>142920</xdr:rowOff>
        </xdr:to>
        <xdr:sp>
          <xdr:nvSpPr>
            <xdr:cNvPr id="1002" name="Button 2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.P.T/Transmission%20Models/Sensitiviti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1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2.14"/>
    <col collapsed="false" customWidth="true" hidden="false" outlineLevel="0" max="3" min="3" style="1" width="9.28"/>
    <col collapsed="false" customWidth="true" hidden="false" outlineLevel="0" max="4" min="4" style="1" width="9.99"/>
    <col collapsed="false" customWidth="true" hidden="false" outlineLevel="0" max="5" min="5" style="1" width="9.28"/>
    <col collapsed="false" customWidth="true" hidden="false" outlineLevel="0" max="6" min="6" style="1" width="2.7"/>
    <col collapsed="false" customWidth="true" hidden="false" outlineLevel="0" max="7" min="7" style="1" width="12.85"/>
    <col collapsed="false" customWidth="true" hidden="false" outlineLevel="0" max="8" min="8" style="1" width="22.42"/>
    <col collapsed="false" customWidth="true" hidden="false" outlineLevel="0" max="9" min="9" style="1" width="10.71"/>
    <col collapsed="false" customWidth="true" hidden="false" outlineLevel="0" max="10" min="10" style="1" width="12.42"/>
    <col collapsed="false" customWidth="true" hidden="false" outlineLevel="0" max="11" min="11" style="1" width="10.71"/>
    <col collapsed="false" customWidth="true" hidden="false" outlineLevel="0" max="12" min="12" style="1" width="2.7"/>
    <col collapsed="false" customWidth="true" hidden="false" outlineLevel="0" max="13" min="13" style="1" width="11.7"/>
    <col collapsed="false" customWidth="true" hidden="false" outlineLevel="0" max="14" min="14" style="1" width="16.84"/>
    <col collapsed="false" customWidth="true" hidden="false" outlineLevel="0" max="15" min="15" style="1" width="12.85"/>
    <col collapsed="false" customWidth="true" hidden="false" outlineLevel="0" max="16" min="16" style="1" width="16.7"/>
    <col collapsed="false" customWidth="true" hidden="false" outlineLevel="0" max="17" min="17" style="1" width="8.56"/>
    <col collapsed="false" customWidth="true" hidden="false" outlineLevel="0" max="18" min="18" style="1" width="8.99"/>
    <col collapsed="false" customWidth="true" hidden="false" outlineLevel="0" max="19" min="19" style="1" width="2.7"/>
    <col collapsed="false" customWidth="true" hidden="false" outlineLevel="0" max="20" min="20" style="1" width="19.14"/>
    <col collapsed="false" customWidth="true" hidden="false" outlineLevel="0" max="21" min="21" style="1" width="12.56"/>
    <col collapsed="false" customWidth="true" hidden="false" outlineLevel="0" max="22" min="22" style="1" width="8.56"/>
    <col collapsed="false" customWidth="true" hidden="false" outlineLevel="0" max="23" min="23" style="1" width="13.14"/>
    <col collapsed="false" customWidth="true" hidden="false" outlineLevel="0" max="24" min="24" style="1" width="11.28"/>
    <col collapsed="false" customWidth="true" hidden="false" outlineLevel="0" max="25" min="25" style="1" width="7.99"/>
    <col collapsed="false" customWidth="false" hidden="false" outlineLevel="0" max="26" min="26" style="1" width="9.14"/>
    <col collapsed="false" customWidth="true" hidden="false" outlineLevel="0" max="27" min="27" style="1" width="10.56"/>
    <col collapsed="false" customWidth="false" hidden="false" outlineLevel="0" max="29" min="28" style="1" width="9.14"/>
    <col collapsed="false" customWidth="true" hidden="false" outlineLevel="0" max="30" min="30" style="1" width="18.14"/>
    <col collapsed="false" customWidth="false" hidden="false" outlineLevel="0" max="257" min="31" style="1" width="9.14"/>
  </cols>
  <sheetData>
    <row r="3" customFormat="false" ht="15.75" hidden="false" customHeight="false" outlineLevel="0" collapsed="false">
      <c r="A3" s="2" t="s">
        <v>0</v>
      </c>
      <c r="B3" s="3"/>
      <c r="C3" s="4"/>
      <c r="D3" s="5" t="e">
        <f aca="false">IF(loopfactor=0," ","WARNING:  MODEL HAS NOT BEEN CONVERGED")</f>
        <v>#REF!</v>
      </c>
      <c r="H3" s="0"/>
      <c r="J3" s="5" t="e">
        <f aca="false">IF((X34+X42+X50+X58+X66+X74)=DEBT," ","WARNING:  THE SUM OF THE DEBT LISTED IN THE TRANCHES DOES NOT EQUAL TOTAL DEBT")</f>
        <v>#REF!</v>
      </c>
      <c r="L3" s="1" t="s">
        <v>1</v>
      </c>
      <c r="M3" s="6" t="s">
        <v>1</v>
      </c>
      <c r="P3" s="5" t="e">
        <f aca="false">IF(X24&gt;1,"WARNING:  NPV DOES NOT RECONCILE"," ")</f>
        <v>#N/A</v>
      </c>
    </row>
    <row r="4" customFormat="false" ht="15.75" hidden="false" customHeight="false" outlineLevel="0" collapsed="false">
      <c r="A4" s="7"/>
      <c r="B4" s="8"/>
      <c r="C4" s="9"/>
      <c r="D4" s="5" t="e">
        <f aca="false">IF(ABS(SUM(BS_IS!F38:AG38))&lt;0.01," ","WARNING:  BALANCE SHEET IS NOT BALANCED")</f>
        <v>#REF!</v>
      </c>
      <c r="H4" s="0"/>
      <c r="J4" s="5" t="e">
        <f aca="false">IF(ABS(RETURNS!AG9+EQUITY)&lt;0.1," ","WARNING:  EQUITY DISTRIBUTED IN THE RETURNS CALC DOES NOT EQUAL TOTAL EQUITY")</f>
        <v>#REF!</v>
      </c>
      <c r="M4" s="6"/>
    </row>
    <row r="5" customFormat="false" ht="15.75" hidden="false" customHeight="false" outlineLevel="0" collapsed="false">
      <c r="A5" s="10" t="s">
        <v>2</v>
      </c>
      <c r="B5" s="11"/>
      <c r="C5" s="12"/>
      <c r="D5" s="5" t="str">
        <f aca="false">IF(V27&lt;W27,"WARNING:  A-TAX TARGET MINIMUM DCR HAS NOT BEEN MET"," ")</f>
        <v> </v>
      </c>
      <c r="H5" s="0"/>
      <c r="J5" s="5" t="str">
        <f aca="false">IF(V28&lt;W28,"WARNING:  A-TAX TARGET AVERAGE DCR HAS NOT BEEN MET"," ")</f>
        <v> </v>
      </c>
      <c r="M5" s="6"/>
    </row>
    <row r="6" customFormat="false" ht="13.5" hidden="false" customHeight="false" outlineLevel="0" collapsed="false">
      <c r="A6" s="1" t="s">
        <v>3</v>
      </c>
      <c r="AC6" s="1" t="s">
        <v>1</v>
      </c>
    </row>
    <row r="7" customFormat="false" ht="15" hidden="false" customHeight="false" outlineLevel="0" collapsed="false">
      <c r="A7" s="13" t="s">
        <v>4</v>
      </c>
      <c r="B7" s="14"/>
      <c r="C7" s="15"/>
      <c r="D7" s="16" t="n">
        <f aca="false">2000</f>
        <v>2000</v>
      </c>
      <c r="E7" s="17"/>
      <c r="G7" s="13" t="s">
        <v>5</v>
      </c>
      <c r="H7" s="14"/>
      <c r="I7" s="15"/>
      <c r="J7" s="15"/>
      <c r="K7" s="17"/>
      <c r="M7" s="18"/>
      <c r="N7" s="15"/>
      <c r="O7" s="15"/>
      <c r="P7" s="15"/>
      <c r="Q7" s="15"/>
      <c r="R7" s="19" t="s">
        <v>6</v>
      </c>
      <c r="S7" s="1" t="s">
        <v>1</v>
      </c>
      <c r="T7" s="20" t="s">
        <v>7</v>
      </c>
      <c r="U7" s="21"/>
      <c r="V7" s="22" t="s">
        <v>8</v>
      </c>
      <c r="W7" s="22" t="s">
        <v>9</v>
      </c>
      <c r="X7" s="23" t="s">
        <v>10</v>
      </c>
      <c r="AC7" s="24" t="s">
        <v>11</v>
      </c>
      <c r="AD7" s="25"/>
      <c r="AE7" s="26" t="s">
        <v>12</v>
      </c>
      <c r="AF7" s="27" t="s">
        <v>13</v>
      </c>
      <c r="AG7" s="28" t="s">
        <v>14</v>
      </c>
    </row>
    <row r="8" customFormat="false" ht="14.25" hidden="false" customHeight="false" outlineLevel="0" collapsed="false">
      <c r="A8" s="29" t="s">
        <v>15</v>
      </c>
      <c r="B8" s="30"/>
      <c r="C8" s="30"/>
      <c r="D8" s="31" t="n">
        <v>475</v>
      </c>
      <c r="E8" s="32" t="s">
        <v>16</v>
      </c>
      <c r="G8" s="29" t="s">
        <v>17</v>
      </c>
      <c r="H8" s="30"/>
      <c r="I8" s="31"/>
      <c r="J8" s="33" t="s">
        <v>18</v>
      </c>
      <c r="K8" s="34"/>
      <c r="M8" s="35" t="s">
        <v>19</v>
      </c>
      <c r="N8" s="30"/>
      <c r="O8" s="36"/>
      <c r="P8" s="30"/>
      <c r="Q8" s="30"/>
      <c r="R8" s="37" t="n">
        <f aca="false">$E$15</f>
        <v>2000</v>
      </c>
      <c r="T8" s="38"/>
      <c r="U8" s="30"/>
      <c r="V8" s="30"/>
      <c r="W8" s="30"/>
      <c r="X8" s="39"/>
      <c r="AC8" s="18" t="s">
        <v>20</v>
      </c>
      <c r="AD8" s="15"/>
      <c r="AE8" s="40" t="n">
        <v>2397.28194348738</v>
      </c>
      <c r="AF8" s="40" t="e">
        <f aca="false">IDC!$D$40</f>
        <v>#REF!</v>
      </c>
      <c r="AG8" s="41" t="e">
        <f aca="false">AF8-EST_IDC</f>
        <v>#REF!</v>
      </c>
    </row>
    <row r="9" customFormat="false" ht="12.75" hidden="false" customHeight="false" outlineLevel="0" collapsed="false">
      <c r="A9" s="29" t="s">
        <v>21</v>
      </c>
      <c r="B9" s="30"/>
      <c r="C9" s="30"/>
      <c r="D9" s="42" t="n">
        <v>1</v>
      </c>
      <c r="E9" s="34"/>
      <c r="G9" s="29" t="s">
        <v>22</v>
      </c>
      <c r="H9" s="30"/>
      <c r="I9" s="43" t="s">
        <v>23</v>
      </c>
      <c r="K9" s="34"/>
      <c r="M9" s="29" t="s">
        <v>24</v>
      </c>
      <c r="N9" s="30"/>
      <c r="O9" s="44"/>
      <c r="P9" s="45"/>
      <c r="Q9" s="30"/>
      <c r="R9" s="46" t="n">
        <f aca="false">O9*(1+CPI)^($R$8-$O$8)</f>
        <v>0</v>
      </c>
      <c r="T9" s="47" t="s">
        <v>25</v>
      </c>
      <c r="U9" s="30"/>
      <c r="V9" s="48" t="n">
        <v>0.1</v>
      </c>
      <c r="W9" s="49" t="e">
        <f aca="false">RETURNS!D16</f>
        <v>#N/A</v>
      </c>
      <c r="X9" s="50" t="e">
        <f aca="false">RETURNS!D15</f>
        <v>#N/A</v>
      </c>
      <c r="Z9" s="51" t="s">
        <v>26</v>
      </c>
      <c r="AA9" s="51"/>
      <c r="AC9" s="29" t="s">
        <v>27</v>
      </c>
      <c r="AD9" s="30"/>
      <c r="AE9" s="52" t="n">
        <v>0</v>
      </c>
      <c r="AF9" s="52" t="e">
        <f aca="false">IDC!D41</f>
        <v>#REF!</v>
      </c>
      <c r="AG9" s="53" t="e">
        <f aca="false">AF9-AE9</f>
        <v>#REF!</v>
      </c>
    </row>
    <row r="10" customFormat="false" ht="13.5" hidden="false" customHeight="false" outlineLevel="0" collapsed="false">
      <c r="A10" s="29" t="s">
        <v>28</v>
      </c>
      <c r="B10" s="30"/>
      <c r="C10" s="54" t="s">
        <v>29</v>
      </c>
      <c r="D10" s="55" t="n">
        <v>10830</v>
      </c>
      <c r="E10" s="56" t="s">
        <v>30</v>
      </c>
      <c r="G10" s="57" t="s">
        <v>31</v>
      </c>
      <c r="H10" s="58"/>
      <c r="I10" s="59" t="n">
        <v>0</v>
      </c>
      <c r="J10" s="58"/>
      <c r="K10" s="34"/>
      <c r="M10" s="29" t="s">
        <v>32</v>
      </c>
      <c r="N10" s="30"/>
      <c r="O10" s="60"/>
      <c r="P10" s="45"/>
      <c r="Q10" s="30"/>
      <c r="R10" s="61" t="n">
        <v>0</v>
      </c>
      <c r="T10" s="38"/>
      <c r="U10" s="30"/>
      <c r="V10" s="30"/>
      <c r="W10" s="62" t="n">
        <v>0.1</v>
      </c>
      <c r="X10" s="63" t="s">
        <v>33</v>
      </c>
      <c r="Z10" s="64" t="e">
        <f aca="false">IF(ROUND(IRR,3)&gt;ROUND(TARGET+0.0003,3),1,IF(ROUND(IRR,4)&lt;ROUND(TARGET-0.0005,3),-1,0))</f>
        <v>#N/A</v>
      </c>
      <c r="AA10" s="64"/>
      <c r="AC10" s="29" t="s">
        <v>34</v>
      </c>
      <c r="AD10" s="30"/>
      <c r="AE10" s="52" t="n">
        <v>554.281671054531</v>
      </c>
      <c r="AF10" s="52" t="n">
        <f aca="false">R25</f>
        <v>0</v>
      </c>
      <c r="AG10" s="53" t="n">
        <f aca="false">AF10-EST_FIN</f>
        <v>0</v>
      </c>
    </row>
    <row r="11" customFormat="false" ht="12.75" hidden="false" customHeight="false" outlineLevel="0" collapsed="false">
      <c r="A11" s="29" t="s">
        <v>35</v>
      </c>
      <c r="B11" s="65"/>
      <c r="C11" s="65"/>
      <c r="D11" s="66" t="n">
        <v>1</v>
      </c>
      <c r="E11" s="34"/>
      <c r="M11" s="29" t="s">
        <v>36</v>
      </c>
      <c r="N11" s="30"/>
      <c r="O11" s="60"/>
      <c r="P11" s="45"/>
      <c r="Q11" s="30"/>
      <c r="R11" s="61" t="n">
        <v>0</v>
      </c>
      <c r="T11" s="38"/>
      <c r="U11" s="30"/>
      <c r="V11" s="30"/>
      <c r="W11" s="30"/>
      <c r="X11" s="39"/>
      <c r="AC11" s="29" t="s">
        <v>37</v>
      </c>
      <c r="AD11" s="30"/>
      <c r="AE11" s="52" t="n">
        <v>0</v>
      </c>
      <c r="AF11" s="52" t="e">
        <f aca="false">TAXES_FEES!B32</f>
        <v>#REF!</v>
      </c>
      <c r="AG11" s="53" t="e">
        <f aca="false">AF11-EST_COMMITT</f>
        <v>#REF!</v>
      </c>
    </row>
    <row r="12" customFormat="false" ht="12.75" hidden="false" customHeight="false" outlineLevel="0" collapsed="false">
      <c r="A12" s="57" t="s">
        <v>38</v>
      </c>
      <c r="B12" s="58"/>
      <c r="C12" s="58"/>
      <c r="D12" s="67" t="n">
        <v>0.03</v>
      </c>
      <c r="E12" s="68"/>
      <c r="G12" s="13" t="s">
        <v>39</v>
      </c>
      <c r="H12" s="15"/>
      <c r="I12" s="15"/>
      <c r="J12" s="15"/>
      <c r="K12" s="17"/>
      <c r="M12" s="69" t="s">
        <v>40</v>
      </c>
      <c r="N12" s="70"/>
      <c r="O12" s="70"/>
      <c r="P12" s="70"/>
      <c r="Q12" s="70"/>
      <c r="R12" s="71" t="n">
        <f aca="false">SUM(R9:R11)</f>
        <v>0</v>
      </c>
      <c r="T12" s="38" t="s">
        <v>41</v>
      </c>
      <c r="U12" s="30"/>
      <c r="V12" s="72" t="n">
        <f aca="false">DISC</f>
        <v>0.1</v>
      </c>
      <c r="W12" s="72" t="e">
        <f aca="false">RETURNS!D32</f>
        <v>#N/A</v>
      </c>
      <c r="X12" s="73" t="e">
        <f aca="false">RETURNS!D31</f>
        <v>#REF!</v>
      </c>
      <c r="AC12" s="29" t="s">
        <v>42</v>
      </c>
      <c r="AD12" s="30"/>
      <c r="AE12" s="52" t="n">
        <v>2558.21377536661</v>
      </c>
      <c r="AF12" s="52" t="e">
        <f aca="false">COST*P36</f>
        <v>#REF!</v>
      </c>
      <c r="AG12" s="53" t="e">
        <f aca="false">AF12-EST_DEV</f>
        <v>#REF!</v>
      </c>
    </row>
    <row r="13" customFormat="false" ht="12.75" hidden="false" customHeight="false" outlineLevel="0" collapsed="false">
      <c r="G13" s="29" t="s">
        <v>43</v>
      </c>
      <c r="H13" s="30"/>
      <c r="I13" s="31"/>
      <c r="J13" s="0"/>
      <c r="K13" s="34"/>
      <c r="M13" s="29" t="s">
        <v>44</v>
      </c>
      <c r="N13" s="30"/>
      <c r="O13" s="44"/>
      <c r="P13" s="30"/>
      <c r="Q13" s="30"/>
      <c r="R13" s="74" t="n">
        <f aca="false">O13*(1+CPI)^($R$8-$O$8)</f>
        <v>0</v>
      </c>
      <c r="T13" s="38" t="s">
        <v>45</v>
      </c>
      <c r="U13" s="30" t="s">
        <v>1</v>
      </c>
      <c r="V13" s="72" t="n">
        <f aca="false">DISC</f>
        <v>0.1</v>
      </c>
      <c r="W13" s="72" t="e">
        <f aca="false">RETURNS!D45</f>
        <v>#REF!</v>
      </c>
      <c r="X13" s="73" t="e">
        <f aca="false">RETURNS!D44</f>
        <v>#REF!</v>
      </c>
      <c r="AC13" s="29" t="s">
        <v>46</v>
      </c>
      <c r="AD13" s="30"/>
      <c r="AE13" s="52" t="n">
        <v>85273.7925122203</v>
      </c>
      <c r="AF13" s="52" t="e">
        <f aca="false">COST</f>
        <v>#REF!</v>
      </c>
      <c r="AG13" s="53" t="e">
        <f aca="false">AF13-EST_COST</f>
        <v>#REF!</v>
      </c>
    </row>
    <row r="14" customFormat="false" ht="12.75" hidden="false" customHeight="false" outlineLevel="0" collapsed="false">
      <c r="A14" s="13" t="s">
        <v>47</v>
      </c>
      <c r="B14" s="15"/>
      <c r="C14" s="15"/>
      <c r="D14" s="15"/>
      <c r="E14" s="17"/>
      <c r="G14" s="29" t="s">
        <v>48</v>
      </c>
      <c r="H14" s="30"/>
      <c r="I14" s="31"/>
      <c r="J14" s="0"/>
      <c r="K14" s="34"/>
      <c r="M14" s="69" t="s">
        <v>49</v>
      </c>
      <c r="N14" s="70"/>
      <c r="O14" s="70"/>
      <c r="P14" s="70"/>
      <c r="Q14" s="70"/>
      <c r="R14" s="71" t="n">
        <f aca="false">SUM(R13)</f>
        <v>0</v>
      </c>
      <c r="T14" s="38" t="s">
        <v>50</v>
      </c>
      <c r="U14" s="30"/>
      <c r="V14" s="72" t="n">
        <f aca="false">DISC</f>
        <v>0.1</v>
      </c>
      <c r="W14" s="72" t="e">
        <f aca="false">RETURNS!D57</f>
        <v>#REF!</v>
      </c>
      <c r="X14" s="75" t="e">
        <f aca="false">RETURNS!D56</f>
        <v>#REF!</v>
      </c>
      <c r="AC14" s="29" t="str">
        <f aca="false">T33</f>
        <v>   Tranche 1:</v>
      </c>
      <c r="AD14" s="30"/>
      <c r="AE14" s="52" t="n">
        <v>55427.9651329432</v>
      </c>
      <c r="AF14" s="52" t="e">
        <f aca="false">X34</f>
        <v>#REF!</v>
      </c>
      <c r="AG14" s="76" t="e">
        <f aca="false">AF14-EST_D1</f>
        <v>#REF!</v>
      </c>
    </row>
    <row r="15" customFormat="false" ht="12.75" hidden="false" customHeight="false" outlineLevel="0" collapsed="false">
      <c r="A15" s="29" t="s">
        <v>51</v>
      </c>
      <c r="B15" s="30"/>
      <c r="C15" s="30"/>
      <c r="D15" s="77" t="e">
        <f aca="false">DATE(E15-1900,12,1)</f>
        <v>#VALUE!</v>
      </c>
      <c r="E15" s="78" t="n">
        <v>2000</v>
      </c>
      <c r="G15" s="57" t="s">
        <v>52</v>
      </c>
      <c r="H15" s="58"/>
      <c r="I15" s="59" t="n">
        <v>0.35</v>
      </c>
      <c r="J15" s="58"/>
      <c r="K15" s="68"/>
      <c r="M15" s="29" t="s">
        <v>53</v>
      </c>
      <c r="N15" s="30"/>
      <c r="O15" s="44"/>
      <c r="P15" s="30"/>
      <c r="Q15" s="30"/>
      <c r="R15" s="46" t="n">
        <f aca="false">O15*(1+CPI)^($R$8-$O$8)</f>
        <v>0</v>
      </c>
      <c r="T15" s="38" t="s">
        <v>54</v>
      </c>
      <c r="U15" s="30"/>
      <c r="V15" s="72"/>
      <c r="W15" s="72"/>
      <c r="X15" s="73" t="e">
        <f aca="false">SUM(X12:X14)</f>
        <v>#REF!</v>
      </c>
      <c r="AC15" s="29" t="str">
        <f aca="false">T41</f>
        <v>   Tranche 2:</v>
      </c>
      <c r="AD15" s="30"/>
      <c r="AE15" s="52" t="n">
        <v>0</v>
      </c>
      <c r="AF15" s="52" t="e">
        <f aca="false">X42</f>
        <v>#REF!</v>
      </c>
      <c r="AG15" s="76" t="e">
        <f aca="false">AF15-EST_EXIM</f>
        <v>#REF!</v>
      </c>
    </row>
    <row r="16" customFormat="false" ht="12.75" hidden="false" customHeight="false" outlineLevel="0" collapsed="false">
      <c r="A16" s="29" t="s">
        <v>55</v>
      </c>
      <c r="B16" s="30"/>
      <c r="C16" s="30"/>
      <c r="D16" s="30"/>
      <c r="E16" s="78" t="n">
        <v>6</v>
      </c>
      <c r="M16" s="29" t="s">
        <v>56</v>
      </c>
      <c r="N16" s="30"/>
      <c r="O16" s="60"/>
      <c r="P16" s="30"/>
      <c r="Q16" s="30"/>
      <c r="R16" s="61" t="n">
        <v>13000</v>
      </c>
      <c r="T16" s="38"/>
      <c r="U16" s="30"/>
      <c r="V16" s="72"/>
      <c r="W16" s="72"/>
      <c r="X16" s="73"/>
      <c r="AC16" s="29" t="str">
        <f aca="false">T49</f>
        <v>   Tranche 3: Other</v>
      </c>
      <c r="AD16" s="30"/>
      <c r="AE16" s="52" t="n">
        <v>0</v>
      </c>
      <c r="AF16" s="52" t="e">
        <f aca="false">X50</f>
        <v>#REF!</v>
      </c>
      <c r="AG16" s="76" t="e">
        <f aca="false">AF16-EST_D3</f>
        <v>#REF!</v>
      </c>
    </row>
    <row r="17" customFormat="false" ht="12.75" hidden="false" customHeight="false" outlineLevel="0" collapsed="false">
      <c r="A17" s="29" t="s">
        <v>57</v>
      </c>
      <c r="B17" s="30"/>
      <c r="C17" s="30"/>
      <c r="D17" s="31" t="n">
        <v>6</v>
      </c>
      <c r="E17" s="78" t="n">
        <v>2001</v>
      </c>
      <c r="G17" s="13" t="s">
        <v>58</v>
      </c>
      <c r="H17" s="15"/>
      <c r="I17" s="79" t="s">
        <v>59</v>
      </c>
      <c r="J17" s="79" t="s">
        <v>60</v>
      </c>
      <c r="K17" s="80" t="s">
        <v>61</v>
      </c>
      <c r="M17" s="29" t="s">
        <v>62</v>
      </c>
      <c r="N17" s="30"/>
      <c r="O17" s="44"/>
      <c r="P17" s="30"/>
      <c r="Q17" s="30"/>
      <c r="R17" s="74" t="n">
        <f aca="false">O17*(1+CPI)^($R$8-$O$8)</f>
        <v>0</v>
      </c>
      <c r="T17" s="38" t="s">
        <v>63</v>
      </c>
      <c r="U17" s="30"/>
      <c r="V17" s="72"/>
      <c r="W17" s="72"/>
      <c r="X17" s="73" t="e">
        <f aca="false">-RETURNS!AL23-RETURNS!AL39-RETURNS!AL51</f>
        <v>#REF!</v>
      </c>
      <c r="AC17" s="29" t="str">
        <f aca="false">T57</f>
        <v>   Tranche 4: Other</v>
      </c>
      <c r="AD17" s="30"/>
      <c r="AE17" s="52" t="n">
        <v>0</v>
      </c>
      <c r="AF17" s="52" t="e">
        <f aca="false">X58</f>
        <v>#REF!</v>
      </c>
      <c r="AG17" s="76" t="e">
        <f aca="false">AF17-EST_D4</f>
        <v>#REF!</v>
      </c>
    </row>
    <row r="18" customFormat="false" ht="12.75" hidden="false" customHeight="false" outlineLevel="0" collapsed="false">
      <c r="A18" s="29" t="s">
        <v>64</v>
      </c>
      <c r="B18" s="30"/>
      <c r="C18" s="30"/>
      <c r="D18" s="30"/>
      <c r="E18" s="78" t="s">
        <v>65</v>
      </c>
      <c r="G18" s="29"/>
      <c r="H18" s="30"/>
      <c r="I18" s="30"/>
      <c r="J18" s="30"/>
      <c r="K18" s="34"/>
      <c r="M18" s="69" t="s">
        <v>66</v>
      </c>
      <c r="N18" s="70"/>
      <c r="O18" s="70"/>
      <c r="P18" s="70"/>
      <c r="Q18" s="70"/>
      <c r="R18" s="71" t="n">
        <f aca="false">SUM(R15:R17)</f>
        <v>13000</v>
      </c>
      <c r="T18" s="38" t="s">
        <v>67</v>
      </c>
      <c r="U18" s="30"/>
      <c r="V18" s="72"/>
      <c r="W18" s="72"/>
      <c r="X18" s="73" t="n">
        <f aca="false">-RETURNS!AL24</f>
        <v>-0</v>
      </c>
      <c r="AC18" s="29" t="str">
        <f aca="false">T65</f>
        <v>   Tranche 5: Other</v>
      </c>
      <c r="AD18" s="30"/>
      <c r="AE18" s="52" t="n">
        <v>0</v>
      </c>
      <c r="AF18" s="52" t="e">
        <f aca="false">X66</f>
        <v>#REF!</v>
      </c>
      <c r="AG18" s="76" t="e">
        <f aca="false">AF18-EST_D5</f>
        <v>#REF!</v>
      </c>
    </row>
    <row r="19" customFormat="false" ht="12.75" hidden="false" customHeight="false" outlineLevel="0" collapsed="false">
      <c r="A19" s="57" t="s">
        <v>68</v>
      </c>
      <c r="B19" s="58"/>
      <c r="C19" s="58"/>
      <c r="D19" s="58"/>
      <c r="E19" s="81" t="s">
        <v>69</v>
      </c>
      <c r="G19" s="29" t="s">
        <v>70</v>
      </c>
      <c r="H19" s="30" t="s">
        <v>71</v>
      </c>
      <c r="I19" s="55" t="n">
        <v>13000</v>
      </c>
      <c r="J19" s="31"/>
      <c r="K19" s="82" t="s">
        <v>72</v>
      </c>
      <c r="M19" s="29" t="s">
        <v>73</v>
      </c>
      <c r="N19" s="30"/>
      <c r="O19" s="44"/>
      <c r="P19" s="45"/>
      <c r="Q19" s="30"/>
      <c r="R19" s="46" t="n">
        <f aca="false">O19*(1+CPI)^($R$8-$O$8)</f>
        <v>0</v>
      </c>
      <c r="T19" s="38" t="s">
        <v>74</v>
      </c>
      <c r="U19" s="30"/>
      <c r="V19" s="72"/>
      <c r="W19" s="72"/>
      <c r="X19" s="73" t="n">
        <f aca="false">-RETURNS!AL25</f>
        <v>-0</v>
      </c>
      <c r="AC19" s="57" t="str">
        <f aca="false">T73</f>
        <v>   Tranche 6: Other</v>
      </c>
      <c r="AD19" s="58"/>
      <c r="AE19" s="83" t="n">
        <v>0</v>
      </c>
      <c r="AF19" s="83" t="e">
        <f aca="false">X74</f>
        <v>#REF!</v>
      </c>
      <c r="AG19" s="84" t="e">
        <f aca="false">AF19-EST_D6</f>
        <v>#REF!</v>
      </c>
    </row>
    <row r="20" customFormat="false" ht="12.75" hidden="false" customHeight="false" outlineLevel="0" collapsed="false">
      <c r="B20" s="85" t="e">
        <f aca="false">W12</f>
        <v>#N/A</v>
      </c>
      <c r="C20" s="86" t="n">
        <f aca="false">E20+0.01</f>
        <v>32.38</v>
      </c>
      <c r="D20" s="86" t="n">
        <f aca="false">E20-0.01</f>
        <v>32.36</v>
      </c>
      <c r="E20" s="87" t="n">
        <v>32.37</v>
      </c>
      <c r="G20" s="29"/>
      <c r="H20" s="30" t="s">
        <v>75</v>
      </c>
      <c r="I20" s="31" t="n">
        <v>0</v>
      </c>
      <c r="J20" s="31" t="n">
        <v>0</v>
      </c>
      <c r="K20" s="82" t="s">
        <v>76</v>
      </c>
      <c r="M20" s="29" t="s">
        <v>77</v>
      </c>
      <c r="N20" s="30"/>
      <c r="O20" s="70"/>
      <c r="P20" s="45"/>
      <c r="Q20" s="30"/>
      <c r="R20" s="61" t="n">
        <v>0</v>
      </c>
      <c r="T20" s="38" t="s">
        <v>78</v>
      </c>
      <c r="U20" s="30"/>
      <c r="V20" s="72"/>
      <c r="W20" s="72"/>
      <c r="X20" s="75" t="n">
        <f aca="false">-RETURNS!AL26</f>
        <v>-0</v>
      </c>
    </row>
    <row r="21" customFormat="false" ht="13.5" hidden="false" customHeight="false" outlineLevel="0" collapsed="false">
      <c r="A21" s="13" t="s">
        <v>79</v>
      </c>
      <c r="B21" s="15"/>
      <c r="C21" s="79" t="n">
        <v>2000</v>
      </c>
      <c r="D21" s="15"/>
      <c r="E21" s="37" t="s">
        <v>80</v>
      </c>
      <c r="G21" s="29"/>
      <c r="H21" s="30" t="s">
        <v>81</v>
      </c>
      <c r="I21" s="31" t="n">
        <v>0</v>
      </c>
      <c r="J21" s="31" t="n">
        <v>0</v>
      </c>
      <c r="K21" s="82" t="s">
        <v>76</v>
      </c>
      <c r="M21" s="29" t="s">
        <v>82</v>
      </c>
      <c r="N21" s="30"/>
      <c r="O21" s="44"/>
      <c r="P21" s="30"/>
      <c r="Q21" s="30"/>
      <c r="R21" s="74" t="n">
        <f aca="false">O21*(1+CPI)^($R$8-$O$8)</f>
        <v>0</v>
      </c>
      <c r="T21" s="38" t="s">
        <v>83</v>
      </c>
      <c r="U21" s="30"/>
      <c r="V21" s="72"/>
      <c r="W21" s="72"/>
      <c r="X21" s="73" t="e">
        <f aca="false">SUM(X17:X20)</f>
        <v>#REF!</v>
      </c>
    </row>
    <row r="22" customFormat="false" ht="13.5" hidden="false" customHeight="false" outlineLevel="0" collapsed="false">
      <c r="A22" s="29" t="s">
        <v>84</v>
      </c>
      <c r="B22" s="30"/>
      <c r="C22" s="88" t="s">
        <v>85</v>
      </c>
      <c r="D22" s="30"/>
      <c r="G22" s="89"/>
      <c r="H22" s="60"/>
      <c r="I22" s="60"/>
      <c r="J22" s="60"/>
      <c r="K22" s="90"/>
      <c r="M22" s="69" t="s">
        <v>86</v>
      </c>
      <c r="N22" s="70"/>
      <c r="O22" s="70"/>
      <c r="P22" s="70"/>
      <c r="Q22" s="70"/>
      <c r="R22" s="71" t="n">
        <f aca="false">SUM(R19:R21)</f>
        <v>0</v>
      </c>
      <c r="T22" s="38"/>
      <c r="U22" s="30"/>
      <c r="V22" s="72"/>
      <c r="W22" s="72"/>
      <c r="X22" s="73"/>
      <c r="AB22" s="91"/>
      <c r="AC22" s="91"/>
      <c r="AD22" s="30"/>
      <c r="AE22" s="30"/>
      <c r="AF22" s="30"/>
      <c r="AI22" s="92" t="s">
        <v>87</v>
      </c>
      <c r="AJ22" s="92"/>
    </row>
    <row r="23" customFormat="false" ht="13.5" hidden="false" customHeight="false" outlineLevel="0" collapsed="false">
      <c r="A23" s="29" t="s">
        <v>88</v>
      </c>
      <c r="B23" s="30"/>
      <c r="C23" s="88" t="s">
        <v>85</v>
      </c>
      <c r="D23" s="30"/>
      <c r="E23" s="34"/>
      <c r="G23" s="89" t="s">
        <v>89</v>
      </c>
      <c r="H23" s="60" t="s">
        <v>71</v>
      </c>
      <c r="I23" s="55" t="n">
        <v>13000</v>
      </c>
      <c r="J23" s="31"/>
      <c r="K23" s="90" t="s">
        <v>76</v>
      </c>
      <c r="M23" s="29" t="s">
        <v>90</v>
      </c>
      <c r="N23" s="30"/>
      <c r="O23" s="30"/>
      <c r="P23" s="30"/>
      <c r="Q23" s="30"/>
      <c r="R23" s="46"/>
      <c r="T23" s="38" t="s">
        <v>91</v>
      </c>
      <c r="U23" s="30"/>
      <c r="V23" s="72"/>
      <c r="W23" s="72"/>
      <c r="X23" s="73" t="e">
        <f aca="false">X15+X21</f>
        <v>#REF!</v>
      </c>
      <c r="AB23" s="49"/>
      <c r="AC23" s="93"/>
      <c r="AD23" s="94"/>
      <c r="AE23" s="95"/>
      <c r="AF23" s="30"/>
      <c r="AI23" s="96" t="e">
        <f aca="false">IF(ABS(SUM(AG8:AG19))&lt;0.05,0,1)</f>
        <v>#REF!</v>
      </c>
      <c r="AJ23" s="96"/>
    </row>
    <row r="24" customFormat="false" ht="13.5" hidden="false" customHeight="false" outlineLevel="0" collapsed="false">
      <c r="A24" s="29" t="s">
        <v>92</v>
      </c>
      <c r="B24" s="30"/>
      <c r="C24" s="88" t="s">
        <v>85</v>
      </c>
      <c r="D24" s="30"/>
      <c r="E24" s="34"/>
      <c r="G24" s="89"/>
      <c r="H24" s="60" t="s">
        <v>75</v>
      </c>
      <c r="I24" s="31" t="n">
        <v>0</v>
      </c>
      <c r="J24" s="31" t="n">
        <v>0</v>
      </c>
      <c r="K24" s="90" t="s">
        <v>76</v>
      </c>
      <c r="M24" s="29" t="s">
        <v>93</v>
      </c>
      <c r="N24" s="30"/>
      <c r="O24" s="30"/>
      <c r="P24" s="30"/>
      <c r="Q24" s="30"/>
      <c r="R24" s="46" t="n">
        <f aca="false">AE9</f>
        <v>0</v>
      </c>
      <c r="T24" s="97" t="s">
        <v>94</v>
      </c>
      <c r="U24" s="98"/>
      <c r="V24" s="99"/>
      <c r="W24" s="99"/>
      <c r="X24" s="100" t="e">
        <f aca="false">X23-X9</f>
        <v>#N/A</v>
      </c>
      <c r="Y24" s="85" t="e">
        <f aca="false">X34/DEBT</f>
        <v>#REF!</v>
      </c>
      <c r="AB24" s="49"/>
      <c r="AC24" s="93"/>
      <c r="AD24" s="94"/>
      <c r="AE24" s="95"/>
      <c r="AF24" s="30"/>
    </row>
    <row r="25" customFormat="false" ht="13.5" hidden="false" customHeight="false" outlineLevel="0" collapsed="false">
      <c r="A25" s="101" t="s">
        <v>95</v>
      </c>
      <c r="B25" s="30"/>
      <c r="C25" s="95"/>
      <c r="D25" s="30"/>
      <c r="G25" s="89"/>
      <c r="H25" s="60" t="s">
        <v>81</v>
      </c>
      <c r="I25" s="31" t="n">
        <v>0</v>
      </c>
      <c r="J25" s="31" t="n">
        <v>0</v>
      </c>
      <c r="K25" s="90" t="s">
        <v>76</v>
      </c>
      <c r="M25" s="29" t="s">
        <v>96</v>
      </c>
      <c r="N25" s="30"/>
      <c r="O25" s="0"/>
      <c r="P25" s="0"/>
      <c r="Q25" s="30"/>
      <c r="R25" s="46" t="n">
        <f aca="false">((+X39*EST_D1)+(X47*EST_EXIM)+(X55*EST_D3)+(X63*EST_D4)+(X71*EST_D5)+(X79*EST_D6))</f>
        <v>0</v>
      </c>
      <c r="AB25" s="49"/>
      <c r="AC25" s="93"/>
      <c r="AD25" s="94"/>
      <c r="AE25" s="95"/>
      <c r="AF25" s="30"/>
    </row>
    <row r="26" customFormat="false" ht="12.75" hidden="false" customHeight="false" outlineLevel="0" collapsed="false">
      <c r="A26" s="29" t="s">
        <v>97</v>
      </c>
      <c r="B26" s="30"/>
      <c r="C26" s="102"/>
      <c r="D26" s="103" t="s">
        <v>98</v>
      </c>
      <c r="E26" s="104" t="n">
        <v>0.02</v>
      </c>
      <c r="G26" s="89"/>
      <c r="H26" s="60"/>
      <c r="I26" s="105"/>
      <c r="J26" s="105"/>
      <c r="K26" s="90"/>
      <c r="M26" s="29" t="s">
        <v>99</v>
      </c>
      <c r="N26" s="30"/>
      <c r="O26" s="30"/>
      <c r="P26" s="30"/>
      <c r="Q26" s="30"/>
      <c r="R26" s="61" t="n">
        <v>0</v>
      </c>
      <c r="T26" s="20" t="s">
        <v>100</v>
      </c>
      <c r="U26" s="22" t="s">
        <v>101</v>
      </c>
      <c r="V26" s="22" t="s">
        <v>102</v>
      </c>
      <c r="W26" s="22" t="s">
        <v>102</v>
      </c>
      <c r="X26" s="106"/>
      <c r="AB26" s="49"/>
      <c r="AC26" s="93"/>
      <c r="AD26" s="94"/>
      <c r="AE26" s="95"/>
      <c r="AF26" s="30"/>
    </row>
    <row r="27" customFormat="false" ht="12.75" hidden="false" customHeight="false" outlineLevel="0" collapsed="false">
      <c r="A27" s="107" t="s">
        <v>103</v>
      </c>
      <c r="B27" s="30"/>
      <c r="C27" s="30"/>
      <c r="D27" s="30"/>
      <c r="E27" s="34"/>
      <c r="G27" s="89" t="s">
        <v>104</v>
      </c>
      <c r="H27" s="60" t="s">
        <v>71</v>
      </c>
      <c r="I27" s="55" t="n">
        <v>13000</v>
      </c>
      <c r="J27" s="31"/>
      <c r="K27" s="90" t="s">
        <v>76</v>
      </c>
      <c r="M27" s="29" t="s">
        <v>105</v>
      </c>
      <c r="N27" s="30"/>
      <c r="O27" s="30"/>
      <c r="P27" s="30"/>
      <c r="Q27" s="30"/>
      <c r="R27" s="46" t="n">
        <f aca="false">EST_COMMITT</f>
        <v>0</v>
      </c>
      <c r="T27" s="38" t="s">
        <v>106</v>
      </c>
      <c r="U27" s="108" t="n">
        <f aca="false">MIN(CF!D98:AC98)</f>
        <v>0</v>
      </c>
      <c r="V27" s="108" t="n">
        <f aca="false">MIN(CF!D99:AC99)</f>
        <v>0</v>
      </c>
      <c r="W27" s="109"/>
      <c r="X27" s="39" t="s">
        <v>107</v>
      </c>
      <c r="AB27" s="49"/>
      <c r="AC27" s="93"/>
      <c r="AD27" s="95"/>
      <c r="AE27" s="95"/>
      <c r="AF27" s="30"/>
    </row>
    <row r="28" customFormat="false" ht="13.5" hidden="false" customHeight="false" outlineLevel="0" collapsed="false">
      <c r="A28" s="101" t="s">
        <v>108</v>
      </c>
      <c r="B28" s="30"/>
      <c r="C28" s="30"/>
      <c r="D28" s="30"/>
      <c r="E28" s="34"/>
      <c r="G28" s="89"/>
      <c r="H28" s="60" t="s">
        <v>75</v>
      </c>
      <c r="I28" s="31" t="n">
        <v>0</v>
      </c>
      <c r="J28" s="31" t="n">
        <v>0</v>
      </c>
      <c r="K28" s="90" t="s">
        <v>76</v>
      </c>
      <c r="M28" s="29" t="s">
        <v>109</v>
      </c>
      <c r="N28" s="30"/>
      <c r="O28" s="30"/>
      <c r="P28" s="30"/>
      <c r="Q28" s="30"/>
      <c r="R28" s="61" t="n">
        <v>0</v>
      </c>
      <c r="T28" s="97" t="s">
        <v>110</v>
      </c>
      <c r="U28" s="110" t="n">
        <f aca="false">AVERAGE(CF!D98:AC98)</f>
        <v>0</v>
      </c>
      <c r="V28" s="110" t="n">
        <f aca="false">AVERAGE(CF!D99:AC99)</f>
        <v>0</v>
      </c>
      <c r="W28" s="111"/>
      <c r="X28" s="112" t="s">
        <v>107</v>
      </c>
      <c r="AB28" s="30"/>
      <c r="AC28" s="95"/>
      <c r="AD28" s="95"/>
      <c r="AE28" s="95"/>
      <c r="AF28" s="30"/>
    </row>
    <row r="29" customFormat="false" ht="12.75" hidden="false" customHeight="false" outlineLevel="0" collapsed="false">
      <c r="A29" s="29" t="s">
        <v>111</v>
      </c>
      <c r="B29" s="30"/>
      <c r="C29" s="113" t="n">
        <f aca="false">SUM(C58:C62)/(8760*avail*dispatch*capacity)</f>
        <v>0.00015380918048546</v>
      </c>
      <c r="D29" s="30" t="s">
        <v>112</v>
      </c>
      <c r="E29" s="104" t="n">
        <v>0.02</v>
      </c>
      <c r="G29" s="114"/>
      <c r="H29" s="115" t="s">
        <v>81</v>
      </c>
      <c r="I29" s="116" t="n">
        <v>0</v>
      </c>
      <c r="J29" s="116" t="n">
        <v>0</v>
      </c>
      <c r="K29" s="117" t="s">
        <v>76</v>
      </c>
      <c r="M29" s="29" t="s">
        <v>113</v>
      </c>
      <c r="N29" s="30"/>
      <c r="O29" s="30"/>
      <c r="P29" s="30"/>
      <c r="Q29" s="30"/>
      <c r="R29" s="61" t="n">
        <v>0</v>
      </c>
      <c r="AC29" s="0"/>
      <c r="AD29" s="0"/>
      <c r="AE29" s="0"/>
    </row>
    <row r="30" customFormat="false" ht="12.75" hidden="false" customHeight="false" outlineLevel="0" collapsed="false">
      <c r="A30" s="29" t="s">
        <v>114</v>
      </c>
      <c r="B30" s="30"/>
      <c r="C30" s="113" t="n">
        <v>0</v>
      </c>
      <c r="D30" s="30" t="s">
        <v>112</v>
      </c>
      <c r="E30" s="104" t="n">
        <v>0.02</v>
      </c>
      <c r="M30" s="29" t="s">
        <v>115</v>
      </c>
      <c r="N30" s="30"/>
      <c r="O30" s="30"/>
      <c r="P30" s="30"/>
      <c r="Q30" s="30"/>
      <c r="R30" s="61" t="n">
        <v>0</v>
      </c>
      <c r="T30" s="13" t="s">
        <v>116</v>
      </c>
      <c r="U30" s="15"/>
      <c r="V30" s="15"/>
      <c r="W30" s="15"/>
      <c r="X30" s="17"/>
      <c r="Y30" s="85" t="e">
        <f aca="false">X42/DEBT</f>
        <v>#REF!</v>
      </c>
      <c r="AC30" s="0"/>
      <c r="AD30" s="0"/>
      <c r="AE30" s="0"/>
    </row>
    <row r="31" customFormat="false" ht="12.75" hidden="false" customHeight="false" outlineLevel="0" collapsed="false">
      <c r="A31" s="29" t="s">
        <v>117</v>
      </c>
      <c r="B31" s="30"/>
      <c r="C31" s="113" t="n">
        <v>0</v>
      </c>
      <c r="D31" s="30" t="s">
        <v>112</v>
      </c>
      <c r="E31" s="104" t="n">
        <v>0.02</v>
      </c>
      <c r="G31" s="13" t="s">
        <v>118</v>
      </c>
      <c r="H31" s="15"/>
      <c r="I31" s="118" t="s">
        <v>119</v>
      </c>
      <c r="J31" s="118" t="s">
        <v>120</v>
      </c>
      <c r="K31" s="119" t="s">
        <v>121</v>
      </c>
      <c r="M31" s="29" t="s">
        <v>122</v>
      </c>
      <c r="N31" s="30"/>
      <c r="O31" s="30"/>
      <c r="P31" s="30"/>
      <c r="Q31" s="30"/>
      <c r="R31" s="61" t="n">
        <v>0</v>
      </c>
      <c r="T31" s="120" t="s">
        <v>123</v>
      </c>
      <c r="U31" s="121" t="e">
        <f aca="false">(($X$50*U54)+($X$42*U46)+($X$34*U38)+($X$58*U62)+($X$66*U70)+($X$74*U78))/($X$34+$X$42+$X$50+$X$58+$X$74+$X$66)</f>
        <v>#REF!</v>
      </c>
      <c r="V31" s="121" t="e">
        <f aca="false">(($X$50*V54)+($X$42*V46)+($X$34*V38)+($X$58*V62)+($X$66*V70)+($X$74*V78))/($X$34+$X$42+$X$50+$X$58+$X$66+$X$74)</f>
        <v>#REF!</v>
      </c>
      <c r="W31" s="30"/>
      <c r="X31" s="122" t="e">
        <f aca="false">(($X$50*X54)+($X$42*X46)+($X$34*X38)+($X$58*X62)+($X$66*X70)+($X$74*X78))/($X$34+$X$42+$X$50+$X$58+$X$66+$X$74)</f>
        <v>#REF!</v>
      </c>
      <c r="AE31" s="85"/>
    </row>
    <row r="32" customFormat="false" ht="12.75" hidden="false" customHeight="false" outlineLevel="0" collapsed="false">
      <c r="A32" s="123" t="s">
        <v>124</v>
      </c>
      <c r="B32" s="124"/>
      <c r="C32" s="125" t="n">
        <f aca="false">CF!D28/(1+E26)^(STARTYR-C21)+(C29+C30)*100</f>
        <v>0.015380918048546</v>
      </c>
      <c r="D32" s="126" t="s">
        <v>125</v>
      </c>
      <c r="E32" s="127"/>
      <c r="G32" s="29" t="s">
        <v>126</v>
      </c>
      <c r="H32" s="30"/>
      <c r="I32" s="43" t="n">
        <v>1</v>
      </c>
      <c r="J32" s="43" t="n">
        <v>1</v>
      </c>
      <c r="K32" s="128" t="e">
        <f aca="false">I32*EQUITY</f>
        <v>#REF!</v>
      </c>
      <c r="M32" s="29" t="s">
        <v>127</v>
      </c>
      <c r="N32" s="30"/>
      <c r="O32" s="30" t="s">
        <v>1</v>
      </c>
      <c r="P32" s="129"/>
      <c r="Q32" s="30"/>
      <c r="R32" s="61" t="n">
        <v>0</v>
      </c>
      <c r="T32" s="29"/>
      <c r="U32" s="130" t="s">
        <v>128</v>
      </c>
      <c r="V32" s="130" t="s">
        <v>129</v>
      </c>
      <c r="W32" s="30"/>
      <c r="X32" s="34"/>
    </row>
    <row r="33" customFormat="false" ht="12.75" hidden="false" customHeight="false" outlineLevel="0" collapsed="false">
      <c r="G33" s="57" t="s">
        <v>130</v>
      </c>
      <c r="H33" s="58"/>
      <c r="I33" s="131" t="n">
        <f aca="false">SUM(I32)</f>
        <v>1</v>
      </c>
      <c r="J33" s="131" t="n">
        <f aca="false">SUM(J32)</f>
        <v>1</v>
      </c>
      <c r="K33" s="132" t="e">
        <f aca="false">SUM(K32)</f>
        <v>#REF!</v>
      </c>
      <c r="M33" s="29" t="s">
        <v>131</v>
      </c>
      <c r="N33" s="30"/>
      <c r="O33" s="30" t="s">
        <v>1</v>
      </c>
      <c r="P33" s="30"/>
      <c r="Q33" s="30"/>
      <c r="R33" s="61" t="n">
        <v>0</v>
      </c>
      <c r="T33" s="29" t="s">
        <v>132</v>
      </c>
      <c r="U33" s="30"/>
      <c r="V33" s="30"/>
      <c r="W33" s="133"/>
      <c r="X33" s="34" t="s">
        <v>133</v>
      </c>
    </row>
    <row r="34" customFormat="false" ht="12.75" hidden="false" customHeight="false" outlineLevel="0" collapsed="false">
      <c r="A34" s="13" t="s">
        <v>134</v>
      </c>
      <c r="B34" s="134"/>
      <c r="C34" s="134"/>
      <c r="D34" s="16" t="n">
        <f aca="false">D7</f>
        <v>2000</v>
      </c>
      <c r="E34" s="135"/>
      <c r="K34" s="5" t="e">
        <f aca="false">IF(ABS(K33-EQUITY)&gt;0.01,"CHECK"," ")</f>
        <v>#REF!</v>
      </c>
      <c r="M34" s="29" t="s">
        <v>135</v>
      </c>
      <c r="N34" s="30"/>
      <c r="O34" s="136" t="s">
        <v>1</v>
      </c>
      <c r="P34" s="136"/>
      <c r="Q34" s="30"/>
      <c r="R34" s="137" t="n">
        <v>0</v>
      </c>
      <c r="T34" s="29" t="s">
        <v>136</v>
      </c>
      <c r="U34" s="30"/>
      <c r="V34" s="30"/>
      <c r="W34" s="138"/>
      <c r="X34" s="46" t="e">
        <f aca="false">DEBT*W34</f>
        <v>#REF!</v>
      </c>
    </row>
    <row r="35" customFormat="false" ht="12.75" hidden="false" customHeight="false" outlineLevel="0" collapsed="false">
      <c r="A35" s="89" t="s">
        <v>15</v>
      </c>
      <c r="B35" s="60"/>
      <c r="C35" s="139"/>
      <c r="D35" s="140"/>
      <c r="E35" s="32" t="s">
        <v>16</v>
      </c>
      <c r="M35" s="69" t="s">
        <v>137</v>
      </c>
      <c r="N35" s="70"/>
      <c r="O35" s="70"/>
      <c r="P35" s="70"/>
      <c r="Q35" s="70"/>
      <c r="R35" s="71" t="n">
        <f aca="false">SUM(R23:R34)</f>
        <v>0</v>
      </c>
      <c r="T35" s="29" t="s">
        <v>138</v>
      </c>
      <c r="U35" s="30"/>
      <c r="V35" s="30"/>
      <c r="W35" s="141"/>
      <c r="X35" s="78"/>
      <c r="AC35" s="1" t="s">
        <v>1</v>
      </c>
      <c r="AE35" s="1" t="s">
        <v>1</v>
      </c>
    </row>
    <row r="36" customFormat="false" ht="12.75" hidden="false" customHeight="false" outlineLevel="0" collapsed="false">
      <c r="A36" s="89" t="s">
        <v>21</v>
      </c>
      <c r="B36" s="60"/>
      <c r="C36" s="142"/>
      <c r="D36" s="143"/>
      <c r="E36" s="144"/>
      <c r="M36" s="29" t="s">
        <v>139</v>
      </c>
      <c r="N36" s="30"/>
      <c r="O36" s="72"/>
      <c r="P36" s="43" t="n">
        <v>0.03</v>
      </c>
      <c r="Q36" s="30"/>
      <c r="R36" s="46"/>
      <c r="T36" s="29" t="s">
        <v>140</v>
      </c>
      <c r="U36" s="30"/>
      <c r="V36" s="30"/>
      <c r="W36" s="145"/>
      <c r="X36" s="34" t="e">
        <f aca="false">IF(X34=0,0,ROUND(X35/2+(TERM_C/12)-0.5,1))</f>
        <v>#REF!</v>
      </c>
      <c r="Y36" s="85" t="e">
        <f aca="false">X50/DEBT</f>
        <v>#REF!</v>
      </c>
    </row>
    <row r="37" customFormat="false" ht="12.75" hidden="false" customHeight="false" outlineLevel="0" collapsed="false">
      <c r="A37" s="29" t="s">
        <v>141</v>
      </c>
      <c r="B37" s="30"/>
      <c r="C37" s="30"/>
      <c r="D37" s="143"/>
      <c r="E37" s="144"/>
      <c r="M37" s="29" t="s">
        <v>142</v>
      </c>
      <c r="N37" s="30"/>
      <c r="O37" s="30"/>
      <c r="P37" s="72" t="s">
        <v>1</v>
      </c>
      <c r="Q37" s="30"/>
      <c r="R37" s="61" t="n">
        <v>0</v>
      </c>
      <c r="T37" s="29" t="s">
        <v>143</v>
      </c>
      <c r="U37" s="30"/>
      <c r="V37" s="30"/>
      <c r="W37" s="146" t="s">
        <v>144</v>
      </c>
      <c r="X37" s="78" t="n">
        <v>0</v>
      </c>
    </row>
    <row r="38" customFormat="false" ht="12.75" hidden="false" customHeight="false" outlineLevel="0" collapsed="false">
      <c r="A38" s="89" t="s">
        <v>145</v>
      </c>
      <c r="B38" s="60"/>
      <c r="C38" s="147"/>
      <c r="D38" s="143"/>
      <c r="E38" s="148"/>
      <c r="M38" s="29" t="s">
        <v>146</v>
      </c>
      <c r="N38" s="30"/>
      <c r="O38" s="43" t="n">
        <v>0</v>
      </c>
      <c r="P38" s="30"/>
      <c r="Q38" s="30"/>
      <c r="R38" s="46" t="e">
        <f aca="false">(R12+R14+R35+R44+R49)*O38</f>
        <v>#REF!</v>
      </c>
      <c r="T38" s="29" t="s">
        <v>147</v>
      </c>
      <c r="U38" s="149"/>
      <c r="V38" s="150"/>
      <c r="W38" s="141"/>
      <c r="X38" s="151" t="n">
        <f aca="false">V38+U38</f>
        <v>0</v>
      </c>
    </row>
    <row r="39" customFormat="false" ht="12.75" hidden="false" customHeight="false" outlineLevel="0" collapsed="false">
      <c r="A39" s="114" t="s">
        <v>148</v>
      </c>
      <c r="B39" s="115"/>
      <c r="C39" s="152"/>
      <c r="D39" s="153"/>
      <c r="E39" s="154"/>
      <c r="M39" s="29" t="s">
        <v>149</v>
      </c>
      <c r="N39" s="30"/>
      <c r="O39" s="30" t="s">
        <v>1</v>
      </c>
      <c r="P39" s="30"/>
      <c r="Q39" s="30"/>
      <c r="R39" s="61" t="n">
        <v>0</v>
      </c>
      <c r="T39" s="29" t="s">
        <v>150</v>
      </c>
      <c r="U39" s="141"/>
      <c r="V39" s="141"/>
      <c r="W39" s="141"/>
      <c r="X39" s="104"/>
    </row>
    <row r="40" customFormat="false" ht="12.75" hidden="false" customHeight="false" outlineLevel="0" collapsed="false">
      <c r="M40" s="29" t="s">
        <v>151</v>
      </c>
      <c r="N40" s="30"/>
      <c r="O40" s="30" t="s">
        <v>1</v>
      </c>
      <c r="P40" s="33" t="s">
        <v>1</v>
      </c>
      <c r="Q40" s="30"/>
      <c r="R40" s="137" t="n">
        <v>0</v>
      </c>
      <c r="T40" s="29" t="s">
        <v>152</v>
      </c>
      <c r="U40" s="141"/>
      <c r="V40" s="141"/>
      <c r="W40" s="141"/>
      <c r="X40" s="104"/>
    </row>
    <row r="41" customFormat="false" ht="12.75" hidden="false" customHeight="false" outlineLevel="0" collapsed="false">
      <c r="A41" s="13" t="s">
        <v>153</v>
      </c>
      <c r="B41" s="15"/>
      <c r="C41" s="15"/>
      <c r="D41" s="155" t="s">
        <v>154</v>
      </c>
      <c r="E41" s="156" t="n">
        <v>0.02</v>
      </c>
      <c r="M41" s="69" t="s">
        <v>155</v>
      </c>
      <c r="N41" s="70"/>
      <c r="O41" s="70"/>
      <c r="P41" s="70"/>
      <c r="Q41" s="70"/>
      <c r="R41" s="71" t="e">
        <f aca="false">R36+R37+R38+R39+R40</f>
        <v>#REF!</v>
      </c>
      <c r="T41" s="89" t="s">
        <v>156</v>
      </c>
      <c r="U41" s="157"/>
      <c r="V41" s="157"/>
      <c r="W41" s="133"/>
      <c r="X41" s="144" t="s">
        <v>133</v>
      </c>
    </row>
    <row r="42" customFormat="false" ht="12.75" hidden="false" customHeight="false" outlineLevel="0" collapsed="false">
      <c r="A42" s="29"/>
      <c r="B42" s="30"/>
      <c r="C42" s="30"/>
      <c r="D42" s="30"/>
      <c r="E42" s="34"/>
      <c r="M42" s="29" t="s">
        <v>157</v>
      </c>
      <c r="N42" s="30"/>
      <c r="O42" s="30" t="s">
        <v>1</v>
      </c>
      <c r="P42" s="30"/>
      <c r="Q42" s="30"/>
      <c r="R42" s="61" t="n">
        <v>0</v>
      </c>
      <c r="T42" s="89" t="s">
        <v>158</v>
      </c>
      <c r="U42" s="158" t="s">
        <v>159</v>
      </c>
      <c r="V42" s="157"/>
      <c r="W42" s="138"/>
      <c r="X42" s="159" t="e">
        <f aca="false">DEBT*W42</f>
        <v>#REF!</v>
      </c>
      <c r="Y42" s="85" t="e">
        <f aca="false">X58/DEBT</f>
        <v>#REF!</v>
      </c>
    </row>
    <row r="43" customFormat="false" ht="12.75" hidden="false" customHeight="false" outlineLevel="0" collapsed="false">
      <c r="A43" s="160" t="s">
        <v>160</v>
      </c>
      <c r="B43" s="30"/>
      <c r="C43" s="36" t="n">
        <v>2000</v>
      </c>
      <c r="D43" s="30"/>
      <c r="E43" s="37" t="s">
        <v>80</v>
      </c>
      <c r="M43" s="29" t="s">
        <v>161</v>
      </c>
      <c r="N43" s="30"/>
      <c r="O43" s="30" t="s">
        <v>1</v>
      </c>
      <c r="P43" s="30"/>
      <c r="Q43" s="30"/>
      <c r="R43" s="137" t="n">
        <v>0</v>
      </c>
      <c r="T43" s="89" t="s">
        <v>138</v>
      </c>
      <c r="U43" s="157"/>
      <c r="V43" s="157"/>
      <c r="W43" s="157"/>
      <c r="X43" s="78"/>
    </row>
    <row r="44" customFormat="false" ht="12.75" hidden="false" customHeight="false" outlineLevel="0" collapsed="false">
      <c r="A44" s="29" t="s">
        <v>162</v>
      </c>
      <c r="B44" s="30"/>
      <c r="C44" s="161" t="n">
        <v>0</v>
      </c>
      <c r="D44" s="30"/>
      <c r="E44" s="104" t="n">
        <f aca="false">CPI</f>
        <v>0.02</v>
      </c>
      <c r="M44" s="69" t="s">
        <v>163</v>
      </c>
      <c r="N44" s="70"/>
      <c r="O44" s="70"/>
      <c r="P44" s="70"/>
      <c r="Q44" s="70"/>
      <c r="R44" s="71" t="n">
        <f aca="false">SUM(R42:R43)</f>
        <v>0</v>
      </c>
      <c r="T44" s="89" t="s">
        <v>140</v>
      </c>
      <c r="U44" s="157"/>
      <c r="V44" s="157"/>
      <c r="W44" s="162"/>
      <c r="X44" s="144" t="e">
        <f aca="false">IF(X42=0,0,ROUND(X43/2+(TERM_C/12)-0.5,1))</f>
        <v>#REF!</v>
      </c>
    </row>
    <row r="45" customFormat="false" ht="12.75" hidden="false" customHeight="false" outlineLevel="0" collapsed="false">
      <c r="A45" s="29" t="s">
        <v>164</v>
      </c>
      <c r="B45" s="30"/>
      <c r="C45" s="161" t="n">
        <v>0</v>
      </c>
      <c r="D45" s="30"/>
      <c r="E45" s="104" t="n">
        <f aca="false">CPI</f>
        <v>0.02</v>
      </c>
      <c r="M45" s="29" t="s">
        <v>165</v>
      </c>
      <c r="N45" s="30"/>
      <c r="O45" s="30" t="s">
        <v>1</v>
      </c>
      <c r="P45" s="30"/>
      <c r="Q45" s="30"/>
      <c r="R45" s="61" t="n">
        <v>0</v>
      </c>
      <c r="T45" s="89" t="s">
        <v>143</v>
      </c>
      <c r="U45" s="157"/>
      <c r="V45" s="157"/>
      <c r="W45" s="146" t="s">
        <v>144</v>
      </c>
      <c r="X45" s="78"/>
      <c r="Z45" s="1" t="s">
        <v>1</v>
      </c>
    </row>
    <row r="46" customFormat="false" ht="12.75" hidden="false" customHeight="false" outlineLevel="0" collapsed="false">
      <c r="A46" s="29" t="s">
        <v>166</v>
      </c>
      <c r="B46" s="30"/>
      <c r="C46" s="161" t="n">
        <v>0</v>
      </c>
      <c r="D46" s="30"/>
      <c r="E46" s="104" t="n">
        <f aca="false">CPI</f>
        <v>0.02</v>
      </c>
      <c r="M46" s="29" t="s">
        <v>167</v>
      </c>
      <c r="N46" s="30"/>
      <c r="O46" s="163" t="n">
        <v>0</v>
      </c>
      <c r="P46" s="30"/>
      <c r="Q46" s="30"/>
      <c r="R46" s="46" t="n">
        <f aca="false">O46*(1+CPI)^($R$8-$O$8)</f>
        <v>0</v>
      </c>
      <c r="T46" s="89" t="s">
        <v>147</v>
      </c>
      <c r="U46" s="149"/>
      <c r="V46" s="164"/>
      <c r="W46" s="157"/>
      <c r="X46" s="165" t="n">
        <f aca="false">V46+U46</f>
        <v>0</v>
      </c>
    </row>
    <row r="47" customFormat="false" ht="12.75" hidden="false" customHeight="false" outlineLevel="0" collapsed="false">
      <c r="A47" s="29" t="s">
        <v>168</v>
      </c>
      <c r="B47" s="30"/>
      <c r="C47" s="161" t="n">
        <v>0</v>
      </c>
      <c r="D47" s="0"/>
      <c r="E47" s="104" t="n">
        <f aca="false">CPI</f>
        <v>0.02</v>
      </c>
      <c r="M47" s="29" t="s">
        <v>169</v>
      </c>
      <c r="N47" s="30"/>
      <c r="O47" s="30"/>
      <c r="P47" s="30"/>
      <c r="Q47" s="30"/>
      <c r="R47" s="46" t="e">
        <f aca="false">R46*DUTIES</f>
        <v>#REF!</v>
      </c>
      <c r="T47" s="89" t="s">
        <v>150</v>
      </c>
      <c r="U47" s="157"/>
      <c r="V47" s="157"/>
      <c r="W47" s="157"/>
      <c r="X47" s="104"/>
    </row>
    <row r="48" customFormat="false" ht="12.75" hidden="false" customHeight="false" outlineLevel="0" collapsed="false">
      <c r="A48" s="29" t="s">
        <v>170</v>
      </c>
      <c r="B48" s="30"/>
      <c r="C48" s="161" t="n">
        <v>0</v>
      </c>
      <c r="D48" s="30"/>
      <c r="E48" s="104" t="n">
        <f aca="false">CPI</f>
        <v>0.02</v>
      </c>
      <c r="M48" s="29" t="s">
        <v>171</v>
      </c>
      <c r="N48" s="30"/>
      <c r="O48" s="30"/>
      <c r="P48" s="30"/>
      <c r="Q48" s="30"/>
      <c r="R48" s="74" t="e">
        <f aca="false">(R46+R47)*#REF!</f>
        <v>#REF!</v>
      </c>
      <c r="T48" s="89" t="s">
        <v>152</v>
      </c>
      <c r="U48" s="157"/>
      <c r="V48" s="157"/>
      <c r="W48" s="157"/>
      <c r="X48" s="104"/>
      <c r="Y48" s="85" t="e">
        <f aca="false">X66/DEBT</f>
        <v>#REF!</v>
      </c>
    </row>
    <row r="49" customFormat="false" ht="12.75" hidden="false" customHeight="false" outlineLevel="0" collapsed="false">
      <c r="A49" s="29" t="s">
        <v>172</v>
      </c>
      <c r="B49" s="30"/>
      <c r="C49" s="161" t="n">
        <v>0</v>
      </c>
      <c r="D49" s="0"/>
      <c r="E49" s="104" t="n">
        <f aca="false">CPI</f>
        <v>0.02</v>
      </c>
      <c r="F49" s="1" t="s">
        <v>1</v>
      </c>
      <c r="M49" s="69" t="s">
        <v>173</v>
      </c>
      <c r="N49" s="70"/>
      <c r="O49" s="70"/>
      <c r="P49" s="70"/>
      <c r="Q49" s="70"/>
      <c r="R49" s="71" t="e">
        <f aca="false">SUM(R45:R48)</f>
        <v>#REF!</v>
      </c>
      <c r="T49" s="89" t="s">
        <v>174</v>
      </c>
      <c r="U49" s="157"/>
      <c r="V49" s="157"/>
      <c r="W49" s="133"/>
      <c r="X49" s="144" t="s">
        <v>133</v>
      </c>
    </row>
    <row r="50" customFormat="false" ht="12.75" hidden="false" customHeight="false" outlineLevel="0" collapsed="false">
      <c r="A50" s="29" t="s">
        <v>175</v>
      </c>
      <c r="B50" s="30"/>
      <c r="C50" s="161" t="n">
        <v>0</v>
      </c>
      <c r="D50" s="30"/>
      <c r="E50" s="104" t="n">
        <f aca="false">CPI</f>
        <v>0.02</v>
      </c>
      <c r="M50" s="29" t="s">
        <v>176</v>
      </c>
      <c r="N50" s="30"/>
      <c r="O50" s="30"/>
      <c r="P50" s="166" t="n">
        <v>776012.569529602</v>
      </c>
      <c r="Q50" s="30"/>
      <c r="R50" s="61" t="n">
        <v>0</v>
      </c>
      <c r="T50" s="89" t="s">
        <v>136</v>
      </c>
      <c r="U50" s="157"/>
      <c r="V50" s="157"/>
      <c r="W50" s="138"/>
      <c r="X50" s="159" t="e">
        <f aca="false">DEBT*W50</f>
        <v>#REF!</v>
      </c>
    </row>
    <row r="51" customFormat="false" ht="12.75" hidden="false" customHeight="false" outlineLevel="0" collapsed="false">
      <c r="A51" s="29" t="s">
        <v>177</v>
      </c>
      <c r="B51" s="30"/>
      <c r="C51" s="161" t="n">
        <v>0</v>
      </c>
      <c r="D51" s="30"/>
      <c r="E51" s="104" t="n">
        <f aca="false">CPI</f>
        <v>0.02</v>
      </c>
      <c r="M51" s="29" t="s">
        <v>178</v>
      </c>
      <c r="N51" s="30"/>
      <c r="O51" s="30"/>
      <c r="P51" s="30"/>
      <c r="Q51" s="30"/>
      <c r="R51" s="61" t="n">
        <v>0</v>
      </c>
      <c r="T51" s="89" t="s">
        <v>138</v>
      </c>
      <c r="U51" s="157"/>
      <c r="V51" s="157"/>
      <c r="W51" s="157"/>
      <c r="X51" s="78"/>
    </row>
    <row r="52" customFormat="false" ht="12.75" hidden="false" customHeight="false" outlineLevel="0" collapsed="false">
      <c r="A52" s="29" t="s">
        <v>179</v>
      </c>
      <c r="B52" s="30"/>
      <c r="C52" s="161" t="n">
        <v>0</v>
      </c>
      <c r="D52" s="30"/>
      <c r="E52" s="104" t="n">
        <f aca="false">CPI</f>
        <v>0.02</v>
      </c>
      <c r="M52" s="29" t="s">
        <v>178</v>
      </c>
      <c r="N52" s="30"/>
      <c r="O52" s="30"/>
      <c r="P52" s="30"/>
      <c r="Q52" s="30"/>
      <c r="R52" s="137" t="n">
        <v>0</v>
      </c>
      <c r="T52" s="89" t="s">
        <v>140</v>
      </c>
      <c r="U52" s="157"/>
      <c r="V52" s="157"/>
      <c r="W52" s="162"/>
      <c r="X52" s="144" t="e">
        <f aca="false">IF(X50=0,0,ROUND(X51/2+(TERM_C/12)-0.5,1))</f>
        <v>#REF!</v>
      </c>
    </row>
    <row r="53" customFormat="false" ht="12.75" hidden="false" customHeight="false" outlineLevel="0" collapsed="false">
      <c r="A53" s="29" t="s">
        <v>180</v>
      </c>
      <c r="B53" s="30"/>
      <c r="C53" s="161" t="n">
        <v>0</v>
      </c>
      <c r="D53" s="30"/>
      <c r="E53" s="104" t="n">
        <f aca="false">CPI</f>
        <v>0.02</v>
      </c>
      <c r="M53" s="69" t="s">
        <v>181</v>
      </c>
      <c r="N53" s="70"/>
      <c r="O53" s="70"/>
      <c r="P53" s="70"/>
      <c r="Q53" s="70"/>
      <c r="R53" s="167" t="n">
        <f aca="false">SUM(R50:R52)</f>
        <v>0</v>
      </c>
      <c r="T53" s="89" t="s">
        <v>143</v>
      </c>
      <c r="U53" s="157"/>
      <c r="V53" s="157"/>
      <c r="W53" s="146" t="s">
        <v>144</v>
      </c>
      <c r="X53" s="78"/>
    </row>
    <row r="54" customFormat="false" ht="12.75" hidden="false" customHeight="false" outlineLevel="0" collapsed="false">
      <c r="A54" s="29" t="s">
        <v>117</v>
      </c>
      <c r="B54" s="30"/>
      <c r="C54" s="161" t="n">
        <v>0</v>
      </c>
      <c r="D54" s="30"/>
      <c r="E54" s="104" t="n">
        <f aca="false">CPI</f>
        <v>0.02</v>
      </c>
      <c r="M54" s="168" t="s">
        <v>46</v>
      </c>
      <c r="N54" s="169"/>
      <c r="O54" s="169"/>
      <c r="P54" s="169"/>
      <c r="Q54" s="58"/>
      <c r="R54" s="170" t="e">
        <f aca="false">SUM(R12+R14+R18+R22+R35+R41+R44+R49+R53)</f>
        <v>#REF!</v>
      </c>
      <c r="T54" s="89" t="s">
        <v>182</v>
      </c>
      <c r="U54" s="149"/>
      <c r="V54" s="164"/>
      <c r="W54" s="157"/>
      <c r="X54" s="165" t="n">
        <f aca="false">V54+U54</f>
        <v>0</v>
      </c>
      <c r="Y54" s="85" t="e">
        <f aca="false">X74/DEBT</f>
        <v>#REF!</v>
      </c>
    </row>
    <row r="55" customFormat="false" ht="12.75" hidden="false" customHeight="false" outlineLevel="0" collapsed="false">
      <c r="A55" s="29" t="s">
        <v>183</v>
      </c>
      <c r="B55" s="30"/>
      <c r="C55" s="161" t="n">
        <v>0</v>
      </c>
      <c r="D55" s="30"/>
      <c r="E55" s="104" t="n">
        <f aca="false">CPI</f>
        <v>0.02</v>
      </c>
      <c r="M55" s="171"/>
      <c r="N55" s="124"/>
      <c r="O55" s="124"/>
      <c r="P55" s="124"/>
      <c r="Q55" s="58"/>
      <c r="R55" s="172"/>
      <c r="T55" s="89" t="s">
        <v>150</v>
      </c>
      <c r="U55" s="157"/>
      <c r="V55" s="157"/>
      <c r="W55" s="157"/>
      <c r="X55" s="104"/>
    </row>
    <row r="56" customFormat="false" ht="12.75" hidden="false" customHeight="false" outlineLevel="0" collapsed="false">
      <c r="A56" s="29" t="s">
        <v>184</v>
      </c>
      <c r="B56" s="30"/>
      <c r="C56" s="161" t="n">
        <v>45</v>
      </c>
      <c r="D56" s="30"/>
      <c r="E56" s="104" t="n">
        <f aca="false">CPI</f>
        <v>0.02</v>
      </c>
      <c r="M56" s="123" t="s">
        <v>185</v>
      </c>
      <c r="N56" s="124"/>
      <c r="O56" s="124"/>
      <c r="P56" s="124"/>
      <c r="Q56" s="58"/>
      <c r="R56" s="173" t="e">
        <f aca="false">COST/capacity</f>
        <v>#REF!</v>
      </c>
      <c r="T56" s="89" t="s">
        <v>152</v>
      </c>
      <c r="U56" s="157"/>
      <c r="V56" s="157"/>
      <c r="W56" s="157"/>
      <c r="X56" s="104"/>
    </row>
    <row r="57" customFormat="false" ht="12.75" hidden="false" customHeight="false" outlineLevel="0" collapsed="false">
      <c r="A57" s="29"/>
      <c r="B57" s="30"/>
      <c r="C57" s="30"/>
      <c r="D57" s="30"/>
      <c r="E57" s="174"/>
      <c r="T57" s="89" t="s">
        <v>186</v>
      </c>
      <c r="U57" s="157"/>
      <c r="V57" s="157"/>
      <c r="W57" s="133"/>
      <c r="X57" s="144" t="s">
        <v>133</v>
      </c>
    </row>
    <row r="58" customFormat="false" ht="12.75" hidden="false" customHeight="false" outlineLevel="0" collapsed="false">
      <c r="A58" s="160" t="s">
        <v>187</v>
      </c>
      <c r="B58" s="30"/>
      <c r="C58" s="161" t="n">
        <v>0</v>
      </c>
      <c r="D58" s="30"/>
      <c r="E58" s="104" t="n">
        <f aca="false">CPI</f>
        <v>0.02</v>
      </c>
      <c r="G58" s="0"/>
      <c r="H58" s="0"/>
      <c r="I58" s="0"/>
      <c r="J58" s="0"/>
      <c r="K58" s="0"/>
      <c r="T58" s="89" t="s">
        <v>136</v>
      </c>
      <c r="U58" s="157"/>
      <c r="V58" s="157"/>
      <c r="W58" s="138"/>
      <c r="X58" s="159" t="e">
        <f aca="false">W58*DEBT</f>
        <v>#REF!</v>
      </c>
    </row>
    <row r="59" customFormat="false" ht="12.75" hidden="false" customHeight="false" outlineLevel="0" collapsed="false">
      <c r="A59" s="29" t="s">
        <v>188</v>
      </c>
      <c r="B59" s="30"/>
      <c r="C59" s="161" t="n">
        <v>0</v>
      </c>
      <c r="D59" s="30"/>
      <c r="E59" s="104" t="n">
        <f aca="false">CPI</f>
        <v>0.02</v>
      </c>
      <c r="G59" s="0"/>
      <c r="H59" s="0"/>
      <c r="I59" s="0"/>
      <c r="J59" s="0"/>
      <c r="K59" s="0"/>
      <c r="T59" s="89" t="s">
        <v>138</v>
      </c>
      <c r="U59" s="157"/>
      <c r="V59" s="157"/>
      <c r="W59" s="157"/>
      <c r="X59" s="78"/>
    </row>
    <row r="60" customFormat="false" ht="12.75" hidden="false" customHeight="false" outlineLevel="0" collapsed="false">
      <c r="A60" s="29" t="s">
        <v>166</v>
      </c>
      <c r="B60" s="30"/>
      <c r="C60" s="161" t="n">
        <v>640</v>
      </c>
      <c r="D60" s="30"/>
      <c r="E60" s="104" t="n">
        <f aca="false">CPI</f>
        <v>0.02</v>
      </c>
      <c r="G60" s="0"/>
      <c r="H60" s="0"/>
      <c r="I60" s="0"/>
      <c r="J60" s="0"/>
      <c r="K60" s="0"/>
      <c r="T60" s="89" t="s">
        <v>140</v>
      </c>
      <c r="U60" s="157"/>
      <c r="V60" s="157"/>
      <c r="W60" s="162"/>
      <c r="X60" s="144" t="e">
        <f aca="false">IF(X58=0,0,ROUND(X59/2+(TERM_C/12)-0.5,1))</f>
        <v>#REF!</v>
      </c>
    </row>
    <row r="61" customFormat="false" ht="12.75" hidden="false" customHeight="false" outlineLevel="0" collapsed="false">
      <c r="A61" s="29" t="s">
        <v>189</v>
      </c>
      <c r="B61" s="30"/>
      <c r="C61" s="161" t="n">
        <v>0</v>
      </c>
      <c r="D61" s="30"/>
      <c r="E61" s="104" t="n">
        <f aca="false">CPI</f>
        <v>0.02</v>
      </c>
      <c r="G61" s="0"/>
      <c r="H61" s="0"/>
      <c r="I61" s="0"/>
      <c r="J61" s="0"/>
      <c r="K61" s="0"/>
      <c r="T61" s="89" t="s">
        <v>143</v>
      </c>
      <c r="U61" s="157"/>
      <c r="V61" s="157"/>
      <c r="W61" s="146" t="s">
        <v>144</v>
      </c>
      <c r="X61" s="78"/>
    </row>
    <row r="62" customFormat="false" ht="12.75" hidden="false" customHeight="false" outlineLevel="0" collapsed="false">
      <c r="A62" s="29" t="s">
        <v>117</v>
      </c>
      <c r="B62" s="58"/>
      <c r="C62" s="175" t="n">
        <v>0</v>
      </c>
      <c r="D62" s="58"/>
      <c r="E62" s="176" t="n">
        <f aca="false">CPI</f>
        <v>0.02</v>
      </c>
      <c r="G62" s="0"/>
      <c r="H62" s="0"/>
      <c r="I62" s="0"/>
      <c r="J62" s="0"/>
      <c r="K62" s="0"/>
      <c r="T62" s="89" t="s">
        <v>190</v>
      </c>
      <c r="U62" s="149"/>
      <c r="V62" s="164"/>
      <c r="W62" s="157"/>
      <c r="X62" s="165" t="n">
        <f aca="false">V62+U62</f>
        <v>0</v>
      </c>
      <c r="Y62" s="85" t="e">
        <f aca="false">SUM(Y23:Y61)</f>
        <v>#REF!</v>
      </c>
    </row>
    <row r="63" customFormat="false" ht="12.75" hidden="false" customHeight="false" outlineLevel="0" collapsed="false">
      <c r="A63" s="57" t="s">
        <v>117</v>
      </c>
      <c r="G63" s="0"/>
      <c r="H63" s="0"/>
      <c r="I63" s="0"/>
      <c r="J63" s="0"/>
      <c r="K63" s="0"/>
      <c r="T63" s="89" t="s">
        <v>150</v>
      </c>
      <c r="U63" s="157"/>
      <c r="V63" s="157"/>
      <c r="W63" s="157"/>
      <c r="X63" s="104"/>
    </row>
    <row r="64" customFormat="false" ht="12.75" hidden="false" customHeight="false" outlineLevel="0" collapsed="false">
      <c r="D64" s="85" t="n">
        <v>0.04</v>
      </c>
      <c r="G64" s="0"/>
      <c r="H64" s="0"/>
      <c r="I64" s="0"/>
      <c r="J64" s="0"/>
      <c r="K64" s="0"/>
      <c r="T64" s="89" t="s">
        <v>152</v>
      </c>
      <c r="U64" s="157"/>
      <c r="V64" s="157"/>
      <c r="W64" s="157"/>
      <c r="X64" s="104"/>
    </row>
    <row r="65" customFormat="false" ht="12.75" hidden="false" customHeight="false" outlineLevel="0" collapsed="false">
      <c r="A65" s="1" t="s">
        <v>191</v>
      </c>
      <c r="G65" s="0"/>
      <c r="H65" s="0"/>
      <c r="I65" s="0"/>
      <c r="J65" s="0"/>
      <c r="K65" s="0"/>
      <c r="M65" s="0"/>
      <c r="T65" s="89" t="s">
        <v>192</v>
      </c>
      <c r="U65" s="157"/>
      <c r="V65" s="157"/>
      <c r="W65" s="133"/>
      <c r="X65" s="144" t="s">
        <v>133</v>
      </c>
    </row>
    <row r="66" customFormat="false" ht="12.75" hidden="false" customHeight="false" outlineLevel="0" collapsed="false">
      <c r="G66" s="0"/>
      <c r="H66" s="0"/>
      <c r="I66" s="0"/>
      <c r="J66" s="0"/>
      <c r="K66" s="0"/>
      <c r="M66" s="0"/>
      <c r="T66" s="89" t="s">
        <v>136</v>
      </c>
      <c r="U66" s="157"/>
      <c r="V66" s="157"/>
      <c r="W66" s="138"/>
      <c r="X66" s="159" t="e">
        <f aca="false">W66*DEBT</f>
        <v>#REF!</v>
      </c>
    </row>
    <row r="67" customFormat="false" ht="12.75" hidden="false" customHeight="false" outlineLevel="0" collapsed="false">
      <c r="G67" s="0"/>
      <c r="H67" s="0"/>
      <c r="I67" s="0"/>
      <c r="J67" s="0"/>
      <c r="K67" s="0"/>
      <c r="M67" s="0"/>
      <c r="T67" s="89" t="s">
        <v>138</v>
      </c>
      <c r="U67" s="157"/>
      <c r="V67" s="157"/>
      <c r="W67" s="157"/>
      <c r="X67" s="78"/>
    </row>
    <row r="68" customFormat="false" ht="12.75" hidden="false" customHeight="false" outlineLevel="0" collapsed="false">
      <c r="F68" s="0"/>
      <c r="G68" s="0"/>
      <c r="H68" s="0"/>
      <c r="I68" s="0"/>
      <c r="J68" s="0"/>
      <c r="K68" s="0"/>
      <c r="L68" s="0"/>
      <c r="M68" s="0"/>
      <c r="T68" s="89" t="s">
        <v>140</v>
      </c>
      <c r="U68" s="157"/>
      <c r="V68" s="157"/>
      <c r="W68" s="162"/>
      <c r="X68" s="144" t="e">
        <f aca="false">IF(X66=0,0,ROUND(X67/2+(TERM_C/12)-0.5,1))</f>
        <v>#REF!</v>
      </c>
    </row>
    <row r="69" customFormat="false" ht="12.75" hidden="false" customHeight="false" outlineLevel="0" collapsed="false">
      <c r="F69" s="0"/>
      <c r="G69" s="0"/>
      <c r="H69" s="0"/>
      <c r="I69" s="0"/>
      <c r="J69" s="0"/>
      <c r="K69" s="0"/>
      <c r="L69" s="0"/>
      <c r="M69" s="0"/>
      <c r="T69" s="89" t="s">
        <v>143</v>
      </c>
      <c r="U69" s="157"/>
      <c r="V69" s="157"/>
      <c r="W69" s="146" t="s">
        <v>144</v>
      </c>
      <c r="X69" s="78"/>
    </row>
    <row r="70" customFormat="false" ht="12.75" hidden="false" customHeight="false" outlineLevel="0" collapsed="false">
      <c r="F70" s="0"/>
      <c r="G70" s="0"/>
      <c r="H70" s="0"/>
      <c r="I70" s="0"/>
      <c r="J70" s="0"/>
      <c r="K70" s="0"/>
      <c r="L70" s="0"/>
      <c r="M70" s="0"/>
      <c r="T70" s="89" t="s">
        <v>182</v>
      </c>
      <c r="U70" s="149"/>
      <c r="V70" s="164"/>
      <c r="W70" s="157"/>
      <c r="X70" s="165" t="n">
        <f aca="false">V70+U70</f>
        <v>0</v>
      </c>
    </row>
    <row r="71" customFormat="false" ht="12.75" hidden="false" customHeight="false" outlineLevel="0" collapsed="false"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T71" s="89" t="s">
        <v>150</v>
      </c>
      <c r="U71" s="157"/>
      <c r="V71" s="157"/>
      <c r="W71" s="157"/>
      <c r="X71" s="104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T72" s="89" t="s">
        <v>152</v>
      </c>
      <c r="U72" s="157"/>
      <c r="V72" s="157"/>
      <c r="W72" s="157"/>
      <c r="X72" s="104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T73" s="89" t="s">
        <v>193</v>
      </c>
      <c r="U73" s="157"/>
      <c r="V73" s="157"/>
      <c r="W73" s="133"/>
      <c r="X73" s="144" t="s">
        <v>133</v>
      </c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T74" s="89" t="s">
        <v>136</v>
      </c>
      <c r="U74" s="157"/>
      <c r="V74" s="157"/>
      <c r="W74" s="138"/>
      <c r="X74" s="159" t="e">
        <f aca="false">W74*DEBT</f>
        <v>#REF!</v>
      </c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T75" s="89" t="s">
        <v>138</v>
      </c>
      <c r="U75" s="157"/>
      <c r="V75" s="157"/>
      <c r="W75" s="157"/>
      <c r="X75" s="78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T76" s="89" t="s">
        <v>140</v>
      </c>
      <c r="U76" s="157"/>
      <c r="V76" s="157"/>
      <c r="W76" s="162"/>
      <c r="X76" s="144" t="e">
        <f aca="false">IF(X74=0,0,ROUND(X75/2+(TERM_C/12)-0.5,1))</f>
        <v>#REF!</v>
      </c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T77" s="89" t="s">
        <v>143</v>
      </c>
      <c r="U77" s="157"/>
      <c r="V77" s="157"/>
      <c r="W77" s="146" t="s">
        <v>144</v>
      </c>
      <c r="X77" s="78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T78" s="89" t="s">
        <v>190</v>
      </c>
      <c r="U78" s="149"/>
      <c r="V78" s="164"/>
      <c r="W78" s="157"/>
      <c r="X78" s="165" t="n">
        <f aca="false">V78+U78</f>
        <v>0</v>
      </c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T79" s="89" t="s">
        <v>150</v>
      </c>
      <c r="U79" s="157"/>
      <c r="V79" s="157"/>
      <c r="W79" s="157"/>
      <c r="X79" s="104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T80" s="89" t="s">
        <v>152</v>
      </c>
      <c r="U80" s="157"/>
      <c r="V80" s="157"/>
      <c r="W80" s="157"/>
      <c r="X80" s="104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T81" s="89"/>
      <c r="U81" s="157"/>
      <c r="V81" s="157"/>
      <c r="W81" s="157"/>
      <c r="X81" s="34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T82" s="89" t="s">
        <v>194</v>
      </c>
      <c r="U82" s="177" t="s">
        <v>195</v>
      </c>
      <c r="V82" s="157"/>
      <c r="W82" s="178"/>
      <c r="X82" s="178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T83" s="29"/>
      <c r="U83" s="141"/>
      <c r="V83" s="141"/>
      <c r="W83" s="141"/>
      <c r="X83" s="34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T84" s="29" t="s">
        <v>196</v>
      </c>
      <c r="U84" s="141"/>
      <c r="V84" s="179" t="n">
        <f aca="false">1-equityperc</f>
        <v>0</v>
      </c>
      <c r="W84" s="141"/>
      <c r="X84" s="46" t="e">
        <f aca="false">COST*DEBTPERC</f>
        <v>#REF!</v>
      </c>
      <c r="Y84" s="18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T85" s="29" t="s">
        <v>197</v>
      </c>
      <c r="U85" s="141"/>
      <c r="V85" s="181" t="n">
        <v>1</v>
      </c>
      <c r="W85" s="141"/>
      <c r="X85" s="74" t="e">
        <f aca="false">COST*equityperc</f>
        <v>#REF!</v>
      </c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T86" s="57" t="s">
        <v>198</v>
      </c>
      <c r="U86" s="182"/>
      <c r="V86" s="183" t="n">
        <f aca="false">DEBTPERC+equityperc</f>
        <v>1</v>
      </c>
      <c r="W86" s="182"/>
      <c r="X86" s="184" t="e">
        <f aca="false">SUM(X84:X85)</f>
        <v>#REF!</v>
      </c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T87" s="30"/>
      <c r="U87" s="141"/>
      <c r="V87" s="185"/>
      <c r="W87" s="141"/>
      <c r="X87" s="186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U88" s="187"/>
      <c r="V88" s="187"/>
      <c r="W88" s="187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U89" s="187"/>
      <c r="V89" s="187"/>
      <c r="W89" s="187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U90" s="187"/>
      <c r="V90" s="187"/>
      <c r="W90" s="187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U91" s="187"/>
      <c r="V91" s="187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U92" s="187"/>
      <c r="V92" s="187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U93" s="187"/>
      <c r="V93" s="187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U94" s="187"/>
      <c r="V94" s="187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U95" s="187"/>
      <c r="V95" s="187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U96" s="187"/>
      <c r="V96" s="187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U97" s="187"/>
      <c r="V97" s="187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U98" s="187"/>
      <c r="V98" s="187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U99" s="187"/>
      <c r="V99" s="187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U100" s="187"/>
      <c r="V100" s="187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O104" s="1" t="s">
        <v>199</v>
      </c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O105" s="1" t="s">
        <v>200</v>
      </c>
      <c r="AD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O106" s="1" t="s">
        <v>201</v>
      </c>
      <c r="AD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AD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AD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L112" s="0"/>
      <c r="M112" s="0"/>
      <c r="AD112" s="0"/>
      <c r="AE112" s="0"/>
      <c r="AF112" s="0"/>
      <c r="AG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L113" s="0"/>
      <c r="M113" s="0"/>
      <c r="AD113" s="0"/>
      <c r="AE113" s="0"/>
      <c r="AF113" s="0"/>
      <c r="AG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L114" s="0"/>
      <c r="M114" s="0"/>
      <c r="AD114" s="0"/>
      <c r="AE114" s="0"/>
      <c r="AF114" s="0"/>
      <c r="AG114" s="0"/>
      <c r="AH114" s="0"/>
      <c r="AI114" s="0"/>
      <c r="AJ114" s="0"/>
      <c r="A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L115" s="0"/>
      <c r="M115" s="0"/>
      <c r="AD115" s="0"/>
      <c r="AE115" s="0"/>
      <c r="AF115" s="0"/>
      <c r="AG115" s="0"/>
      <c r="AH115" s="0"/>
      <c r="AI115" s="0"/>
      <c r="AJ115" s="0"/>
      <c r="AK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L116" s="0"/>
      <c r="M116" s="0"/>
      <c r="AD116" s="0"/>
      <c r="AE116" s="0"/>
      <c r="AF116" s="0"/>
      <c r="AG116" s="0"/>
      <c r="AH116" s="0"/>
      <c r="AI116" s="0"/>
      <c r="AJ116" s="0"/>
      <c r="AK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L117" s="0"/>
      <c r="AD117" s="0"/>
      <c r="AE117" s="0"/>
      <c r="AF117" s="0"/>
      <c r="AG117" s="0"/>
      <c r="AH117" s="0"/>
      <c r="AI117" s="0"/>
      <c r="AJ117" s="0"/>
      <c r="AK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L118" s="0"/>
      <c r="AD118" s="0"/>
      <c r="AE118" s="0"/>
      <c r="AF118" s="0"/>
      <c r="AG118" s="0"/>
      <c r="AH118" s="0"/>
      <c r="AI118" s="0"/>
      <c r="AJ118" s="0"/>
      <c r="AK118" s="0"/>
      <c r="AL118" s="1" t="n">
        <v>2</v>
      </c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L119" s="0"/>
      <c r="AD119" s="0"/>
      <c r="AE119" s="0"/>
      <c r="AF119" s="0"/>
      <c r="AG119" s="0"/>
      <c r="AH119" s="0"/>
      <c r="AI119" s="0"/>
      <c r="AJ119" s="0"/>
      <c r="AK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AD120" s="0"/>
      <c r="AE120" s="0"/>
      <c r="AF120" s="0"/>
      <c r="AG120" s="0"/>
      <c r="AH120" s="0"/>
      <c r="AI120" s="0"/>
      <c r="AJ120" s="0"/>
      <c r="AK120" s="0"/>
      <c r="AL120" s="1" t="n">
        <v>3</v>
      </c>
    </row>
    <row r="121" customFormat="false" ht="12.75" hidden="false" customHeight="false" outlineLevel="0" collapsed="false">
      <c r="A121" s="0"/>
      <c r="B121" s="0"/>
      <c r="C121" s="0"/>
      <c r="D121" s="0"/>
      <c r="E121" s="0"/>
      <c r="AD121" s="0"/>
      <c r="AE121" s="0"/>
      <c r="AF121" s="0"/>
      <c r="AG121" s="0"/>
      <c r="AH121" s="0"/>
      <c r="AI121" s="0"/>
      <c r="AJ121" s="0"/>
      <c r="AK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AD122" s="0"/>
      <c r="AE122" s="0"/>
      <c r="AF122" s="0"/>
      <c r="AG122" s="0"/>
      <c r="AH122" s="0"/>
      <c r="AI122" s="0"/>
      <c r="AJ122" s="0"/>
      <c r="AK122" s="0"/>
      <c r="AL122" s="1" t="n">
        <v>4</v>
      </c>
    </row>
    <row r="123" customFormat="false" ht="12.75" hidden="false" customHeight="false" outlineLevel="0" collapsed="false">
      <c r="A123" s="0"/>
      <c r="AD123" s="0"/>
      <c r="AE123" s="0"/>
      <c r="AF123" s="0"/>
      <c r="AG123" s="0"/>
      <c r="AH123" s="0"/>
      <c r="AI123" s="0"/>
      <c r="AJ123" s="0"/>
      <c r="AK123" s="0"/>
    </row>
    <row r="124" customFormat="false" ht="12.75" hidden="false" customHeight="false" outlineLevel="0" collapsed="false">
      <c r="AD124" s="0"/>
      <c r="AE124" s="0"/>
      <c r="AF124" s="0"/>
      <c r="AG124" s="0"/>
      <c r="AH124" s="0"/>
      <c r="AI124" s="0"/>
      <c r="AJ124" s="0"/>
      <c r="AK124" s="0"/>
      <c r="AL124" s="1" t="n">
        <v>5</v>
      </c>
    </row>
    <row r="125" customFormat="false" ht="12.75" hidden="false" customHeight="false" outlineLevel="0" collapsed="false">
      <c r="AD125" s="0"/>
      <c r="AE125" s="0"/>
      <c r="AF125" s="0"/>
      <c r="AG125" s="0"/>
      <c r="AH125" s="0"/>
      <c r="AI125" s="0"/>
      <c r="AJ125" s="0"/>
      <c r="AK125" s="0"/>
    </row>
    <row r="126" customFormat="false" ht="12.75" hidden="false" customHeight="false" outlineLevel="0" collapsed="false">
      <c r="AD126" s="0"/>
      <c r="AE126" s="0"/>
      <c r="AF126" s="0"/>
      <c r="AG126" s="0"/>
      <c r="AH126" s="0"/>
      <c r="AI126" s="0"/>
      <c r="AJ126" s="0"/>
      <c r="AK126" s="0"/>
      <c r="AL126" s="1" t="n">
        <v>6</v>
      </c>
    </row>
    <row r="127" customFormat="false" ht="12.75" hidden="false" customHeight="false" outlineLevel="0" collapsed="false">
      <c r="AD127" s="0"/>
      <c r="AE127" s="0"/>
      <c r="AF127" s="0"/>
      <c r="AG127" s="0"/>
      <c r="AH127" s="0"/>
      <c r="AI127" s="0"/>
      <c r="AJ127" s="0"/>
      <c r="AK127" s="0"/>
    </row>
    <row r="128" customFormat="false" ht="12.75" hidden="false" customHeight="false" outlineLevel="0" collapsed="false">
      <c r="AD128" s="0"/>
      <c r="AE128" s="0"/>
      <c r="AF128" s="0"/>
      <c r="AG128" s="0"/>
      <c r="AH128" s="0"/>
      <c r="AI128" s="0"/>
      <c r="AJ128" s="0"/>
      <c r="AK128" s="0"/>
      <c r="AL128" s="1" t="n">
        <v>7</v>
      </c>
    </row>
    <row r="129" customFormat="false" ht="12.75" hidden="false" customHeight="false" outlineLevel="0" collapsed="false">
      <c r="AD129" s="0"/>
      <c r="AE129" s="0"/>
      <c r="AF129" s="0"/>
      <c r="AG129" s="0"/>
      <c r="AH129" s="0"/>
      <c r="AI129" s="0"/>
      <c r="AJ129" s="0"/>
      <c r="AK129" s="0"/>
    </row>
    <row r="130" customFormat="false" ht="12.75" hidden="false" customHeight="false" outlineLevel="0" collapsed="false">
      <c r="AD130" s="0"/>
      <c r="AE130" s="0"/>
      <c r="AF130" s="0"/>
      <c r="AG130" s="0"/>
      <c r="AH130" s="0"/>
      <c r="AI130" s="0"/>
      <c r="AJ130" s="0"/>
      <c r="AK130" s="0"/>
      <c r="AL130" s="1" t="n">
        <v>8</v>
      </c>
    </row>
    <row r="131" customFormat="false" ht="12.75" hidden="false" customHeight="false" outlineLevel="0" collapsed="false">
      <c r="AD131" s="0"/>
      <c r="AE131" s="0"/>
      <c r="AF131" s="0"/>
      <c r="AG131" s="0"/>
      <c r="AH131" s="0"/>
      <c r="AI131" s="0"/>
      <c r="AJ131" s="0"/>
      <c r="AK131" s="0"/>
    </row>
    <row r="132" customFormat="false" ht="12.75" hidden="false" customHeight="false" outlineLevel="0" collapsed="false">
      <c r="AD132" s="0"/>
      <c r="AE132" s="0"/>
      <c r="AF132" s="0"/>
      <c r="AG132" s="0"/>
      <c r="AH132" s="0"/>
      <c r="AI132" s="0"/>
      <c r="AJ132" s="0"/>
      <c r="AK132" s="0"/>
    </row>
    <row r="133" customFormat="false" ht="12.75" hidden="false" customHeight="false" outlineLevel="0" collapsed="false">
      <c r="AD133" s="0"/>
      <c r="AE133" s="0"/>
      <c r="AF133" s="0"/>
      <c r="AG133" s="0"/>
      <c r="AH133" s="0"/>
      <c r="AI133" s="0"/>
      <c r="AJ133" s="0"/>
      <c r="AK133" s="0"/>
    </row>
    <row r="134" customFormat="false" ht="12.75" hidden="false" customHeight="false" outlineLevel="0" collapsed="false">
      <c r="AD134" s="0"/>
      <c r="AE134" s="0"/>
      <c r="AF134" s="0"/>
      <c r="AG134" s="0"/>
      <c r="AH134" s="0"/>
      <c r="AI134" s="0"/>
      <c r="AJ134" s="0"/>
      <c r="AK134" s="0"/>
    </row>
    <row r="135" customFormat="false" ht="12.75" hidden="false" customHeight="false" outlineLevel="0" collapsed="false">
      <c r="AD135" s="0"/>
      <c r="AE135" s="0"/>
      <c r="AF135" s="0"/>
      <c r="AG135" s="0"/>
      <c r="AH135" s="0"/>
      <c r="AI135" s="0"/>
      <c r="AJ135" s="0"/>
      <c r="AK135" s="0"/>
    </row>
    <row r="136" customFormat="false" ht="12.75" hidden="false" customHeight="false" outlineLevel="0" collapsed="false">
      <c r="AD136" s="0"/>
      <c r="AE136" s="0"/>
      <c r="AF136" s="0"/>
      <c r="AG136" s="0"/>
      <c r="AH136" s="0"/>
      <c r="AI136" s="0"/>
      <c r="AJ136" s="0"/>
      <c r="AK136" s="0"/>
    </row>
    <row r="137" customFormat="false" ht="12.75" hidden="false" customHeight="false" outlineLevel="0" collapsed="false">
      <c r="AD137" s="0"/>
      <c r="AE137" s="0"/>
      <c r="AF137" s="0"/>
      <c r="AG137" s="0"/>
      <c r="AH137" s="0"/>
      <c r="AI137" s="0"/>
      <c r="AJ137" s="0"/>
      <c r="AK137" s="0"/>
    </row>
    <row r="138" customFormat="false" ht="12.75" hidden="false" customHeight="false" outlineLevel="0" collapsed="false">
      <c r="AD138" s="0"/>
      <c r="AE138" s="0"/>
      <c r="AF138" s="0"/>
      <c r="AG138" s="0"/>
      <c r="AH138" s="0"/>
      <c r="AI138" s="0"/>
      <c r="AJ138" s="0"/>
      <c r="AK138" s="0"/>
    </row>
    <row r="139" customFormat="false" ht="12.75" hidden="false" customHeight="false" outlineLevel="0" collapsed="false">
      <c r="AD139" s="0"/>
      <c r="AE139" s="0"/>
      <c r="AF139" s="0"/>
      <c r="AG139" s="0"/>
      <c r="AH139" s="0"/>
      <c r="AI139" s="0"/>
      <c r="AJ139" s="0"/>
      <c r="AK139" s="0"/>
    </row>
    <row r="140" customFormat="false" ht="12.75" hidden="false" customHeight="false" outlineLevel="0" collapsed="false">
      <c r="AD140" s="0"/>
      <c r="AE140" s="0"/>
      <c r="AF140" s="0"/>
      <c r="AG140" s="0"/>
      <c r="AH140" s="0"/>
      <c r="AI140" s="0"/>
      <c r="AJ140" s="0"/>
      <c r="AK140" s="0"/>
    </row>
    <row r="141" customFormat="false" ht="12.75" hidden="false" customHeight="false" outlineLevel="0" collapsed="false">
      <c r="AD141" s="0"/>
      <c r="AE141" s="0"/>
      <c r="AF141" s="0"/>
      <c r="AG141" s="0"/>
      <c r="AH141" s="0"/>
      <c r="AI141" s="0"/>
      <c r="AJ141" s="0"/>
      <c r="AK141" s="0"/>
    </row>
    <row r="142" customFormat="false" ht="12.75" hidden="false" customHeight="false" outlineLevel="0" collapsed="false">
      <c r="AD142" s="0"/>
      <c r="AE142" s="0"/>
      <c r="AF142" s="0"/>
      <c r="AG142" s="0"/>
      <c r="AH142" s="0"/>
      <c r="AI142" s="0"/>
      <c r="AJ142" s="0"/>
      <c r="AK142" s="0"/>
    </row>
    <row r="143" customFormat="false" ht="12.75" hidden="false" customHeight="false" outlineLevel="0" collapsed="false">
      <c r="AH143" s="0"/>
      <c r="AI143" s="0"/>
      <c r="AJ143" s="0"/>
      <c r="AK143" s="0"/>
    </row>
    <row r="144" customFormat="false" ht="12.75" hidden="false" customHeight="false" outlineLevel="0" collapsed="false">
      <c r="AH144" s="0"/>
      <c r="AI144" s="0"/>
      <c r="AJ144" s="0"/>
      <c r="AK144" s="0"/>
    </row>
  </sheetData>
  <mergeCells count="5">
    <mergeCell ref="Z9:AA9"/>
    <mergeCell ref="Z10:AA10"/>
    <mergeCell ref="AI22:AJ22"/>
    <mergeCell ref="AI23:AJ23"/>
    <mergeCell ref="W82:X82"/>
  </mergeCells>
  <printOptions headings="false" gridLines="false" gridLinesSet="true" horizontalCentered="true" verticalCentered="false"/>
  <pageMargins left="0.25" right="0.25" top="0.5" bottom="0.5" header="0.5" footer="0.5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8.CONVERGE">
                <anchor moveWithCells="true" sizeWithCells="false">
                  <from>
                    <xdr:col>1</xdr:col>
                    <xdr:colOff>674640</xdr:colOff>
                    <xdr:row>0</xdr:row>
                    <xdr:rowOff>19080</xdr:rowOff>
                  </from>
                  <to>
                    <xdr:col>2</xdr:col>
                    <xdr:colOff>51120</xdr:colOff>
                    <xdr:row>1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 macro="XLS.Module1.PRINTALL">
                <anchor moveWithCells="true" sizeWithCells="false">
                  <from>
                    <xdr:col>0</xdr:col>
                    <xdr:colOff>150840</xdr:colOff>
                    <xdr:row>0</xdr:row>
                    <xdr:rowOff>9360</xdr:rowOff>
                  </from>
                  <to>
                    <xdr:col>1</xdr:col>
                    <xdr:colOff>525600</xdr:colOff>
                    <xdr:row>1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8" activeCellId="0" sqref="E10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1" width="13.7"/>
    <col collapsed="false" customWidth="true" hidden="false" outlineLevel="0" max="3" min="3" style="1" width="20.56"/>
    <col collapsed="false" customWidth="true" hidden="false" outlineLevel="0" max="30" min="4" style="1" width="10.71"/>
    <col collapsed="false" customWidth="false" hidden="false" outlineLevel="0" max="257" min="31" style="1" width="9.14"/>
  </cols>
  <sheetData>
    <row r="1" customFormat="false" ht="15.75" hidden="false" customHeight="false" outlineLevel="0" collapsed="false">
      <c r="A1" s="2" t="s">
        <v>202</v>
      </c>
      <c r="B1" s="135"/>
    </row>
    <row r="2" customFormat="false" ht="15.75" hidden="false" customHeight="false" outlineLevel="0" collapsed="false">
      <c r="A2" s="188" t="n">
        <f aca="false">ASS!A4</f>
        <v>0</v>
      </c>
      <c r="B2" s="144"/>
    </row>
    <row r="3" customFormat="false" ht="15.75" hidden="false" customHeight="false" outlineLevel="0" collapsed="false">
      <c r="A3" s="189" t="str">
        <f aca="false">ASS!A5</f>
        <v>BASE MODEL</v>
      </c>
      <c r="B3" s="154"/>
    </row>
    <row r="4" customFormat="false" ht="15.75" hidden="false" customHeight="false" outlineLevel="0" collapsed="false">
      <c r="A4" s="8"/>
      <c r="B4" s="60"/>
      <c r="N4" s="190"/>
      <c r="S4" s="191"/>
    </row>
    <row r="5" customFormat="false" ht="12.75" hidden="false" customHeight="false" outlineLevel="0" collapsed="false">
      <c r="A5" s="18" t="s">
        <v>203</v>
      </c>
      <c r="B5" s="15"/>
      <c r="C5" s="15"/>
      <c r="D5" s="192" t="n">
        <v>1</v>
      </c>
      <c r="E5" s="15" t="n">
        <f aca="false">D5+1</f>
        <v>2</v>
      </c>
      <c r="F5" s="15" t="n">
        <f aca="false">E5+1</f>
        <v>3</v>
      </c>
      <c r="G5" s="15" t="n">
        <f aca="false">F5+1</f>
        <v>4</v>
      </c>
      <c r="H5" s="15" t="n">
        <f aca="false">G5+1</f>
        <v>5</v>
      </c>
      <c r="I5" s="15" t="n">
        <f aca="false">H5+1</f>
        <v>6</v>
      </c>
      <c r="J5" s="15" t="n">
        <f aca="false">I5+1</f>
        <v>7</v>
      </c>
      <c r="K5" s="15" t="n">
        <f aca="false">J5+1</f>
        <v>8</v>
      </c>
      <c r="L5" s="15" t="n">
        <f aca="false">K5+1</f>
        <v>9</v>
      </c>
      <c r="M5" s="15" t="n">
        <f aca="false">L5+1</f>
        <v>10</v>
      </c>
      <c r="N5" s="134" t="n">
        <f aca="false">M5+1</f>
        <v>11</v>
      </c>
      <c r="O5" s="15" t="n">
        <f aca="false">N5+1</f>
        <v>12</v>
      </c>
      <c r="P5" s="15" t="n">
        <f aca="false">O5+1</f>
        <v>13</v>
      </c>
      <c r="Q5" s="15" t="n">
        <f aca="false">P5+1</f>
        <v>14</v>
      </c>
      <c r="R5" s="15" t="n">
        <f aca="false">Q5+1</f>
        <v>15</v>
      </c>
      <c r="S5" s="193" t="n">
        <f aca="false">R5+1</f>
        <v>16</v>
      </c>
      <c r="T5" s="15" t="n">
        <f aca="false">S5+1</f>
        <v>17</v>
      </c>
      <c r="U5" s="15" t="n">
        <f aca="false">T5+1</f>
        <v>18</v>
      </c>
      <c r="V5" s="15" t="n">
        <f aca="false">U5+1</f>
        <v>19</v>
      </c>
      <c r="W5" s="15" t="n">
        <f aca="false">V5+1</f>
        <v>20</v>
      </c>
      <c r="X5" s="15" t="n">
        <f aca="false">W5+1</f>
        <v>21</v>
      </c>
      <c r="Y5" s="15" t="n">
        <f aca="false">X5+1</f>
        <v>22</v>
      </c>
      <c r="Z5" s="15" t="n">
        <f aca="false">Y5+1</f>
        <v>23</v>
      </c>
      <c r="AA5" s="15" t="n">
        <f aca="false">Z5+1</f>
        <v>24</v>
      </c>
      <c r="AB5" s="15" t="n">
        <f aca="false">AA5+1</f>
        <v>25</v>
      </c>
      <c r="AC5" s="17" t="n">
        <f aca="false">AB5+1</f>
        <v>26</v>
      </c>
      <c r="AD5" s="194"/>
    </row>
    <row r="6" customFormat="false" ht="12.75" hidden="false" customHeight="false" outlineLevel="0" collapsed="false">
      <c r="A6" s="195" t="s">
        <v>204</v>
      </c>
      <c r="B6" s="30"/>
      <c r="C6" s="30"/>
      <c r="D6" s="196" t="n">
        <f aca="false">STARTYR</f>
        <v>2001</v>
      </c>
      <c r="E6" s="196" t="n">
        <f aca="false">IF(D6+1-$D$6&gt;TERM,0,IF(D6&gt;0,D6+1,0))</f>
        <v>2002</v>
      </c>
      <c r="F6" s="196" t="n">
        <f aca="false">IF(E6+1-$D$6&gt;TERM,0,IF(E6&gt;0,E6+1,0))</f>
        <v>2003</v>
      </c>
      <c r="G6" s="196" t="n">
        <f aca="false">IF(F6+1-$D$6&gt;TERM,0,IF(F6&gt;0,F6+1,0))</f>
        <v>2004</v>
      </c>
      <c r="H6" s="196" t="n">
        <f aca="false">IF(G6+1-$D$6&gt;TERM,0,IF(G6&gt;0,G6+1,0))</f>
        <v>2005</v>
      </c>
      <c r="I6" s="196" t="n">
        <f aca="false">IF(H6+1-$D$6&gt;TERM,0,IF(H6&gt;0,H6+1,0))</f>
        <v>2006</v>
      </c>
      <c r="J6" s="196" t="n">
        <f aca="false">IF(I6+1-$D$6&gt;TERM,0,IF(I6&gt;0,I6+1,0))</f>
        <v>2007</v>
      </c>
      <c r="K6" s="196" t="n">
        <f aca="false">IF(J6+1-$D$6&gt;TERM,0,IF(J6&gt;0,J6+1,0))</f>
        <v>2008</v>
      </c>
      <c r="L6" s="196" t="n">
        <f aca="false">IF(K6+1-$D$6&gt;TERM,0,IF(K6&gt;0,K6+1,0))</f>
        <v>2009</v>
      </c>
      <c r="M6" s="196" t="n">
        <f aca="false">IF(L6+1-$D$6&gt;TERM,0,IF(L6&gt;0,L6+1,0))</f>
        <v>2010</v>
      </c>
      <c r="N6" s="197" t="n">
        <f aca="false">IF(M6+1-$D$6&gt;TERM,0,IF(M6&gt;0,M6+1,0))</f>
        <v>2011</v>
      </c>
      <c r="O6" s="196" t="n">
        <f aca="false">IF(N6+1-$D$6&gt;TERM,0,IF(N6&gt;0,N6+1,0))</f>
        <v>2012</v>
      </c>
      <c r="P6" s="196" t="n">
        <f aca="false">IF(O6+1-$D$6&gt;TERM,0,IF(O6&gt;0,O6+1,0))</f>
        <v>2013</v>
      </c>
      <c r="Q6" s="196" t="n">
        <f aca="false">IF(P6+1-$D$6&gt;TERM,0,IF(P6&gt;0,P6+1,0))</f>
        <v>2014</v>
      </c>
      <c r="R6" s="196" t="n">
        <f aca="false">IF(Q6+1-$D$6&gt;TERM,0,IF(Q6&gt;0,Q6+1,0))</f>
        <v>2015</v>
      </c>
      <c r="S6" s="198" t="n">
        <f aca="false">IF(R6+1-$D$6&gt;TERM,0,IF(R6&gt;0,R6+1,0))</f>
        <v>2016</v>
      </c>
      <c r="T6" s="196" t="n">
        <f aca="false">IF(S6+1-$D$6&gt;TERM,0,IF(S6&gt;0,S6+1,0))</f>
        <v>2017</v>
      </c>
      <c r="U6" s="196" t="n">
        <f aca="false">IF(T6+1-$D$6&gt;TERM,0,IF(T6&gt;0,T6+1,0))</f>
        <v>2018</v>
      </c>
      <c r="V6" s="196" t="n">
        <f aca="false">IF(U6+1-$D$6&gt;TERM,0,IF(U6&gt;0,U6+1,0))</f>
        <v>2019</v>
      </c>
      <c r="W6" s="196" t="n">
        <f aca="false">IF(V6+1-$D$6&gt;TERM,0,IF(V6&gt;0,V6+1,0))</f>
        <v>2020</v>
      </c>
      <c r="X6" s="196" t="n">
        <f aca="false">IF(W6+1-$D$6&gt;TERM,0,IF(W6&gt;0,W6+1,0))</f>
        <v>2021</v>
      </c>
      <c r="Y6" s="196" t="n">
        <f aca="false">IF(X6+1-$D$6&gt;TERM,0,IF(X6&gt;0,X6+1,0))</f>
        <v>2022</v>
      </c>
      <c r="Z6" s="196" t="n">
        <f aca="false">IF(Y6+1-$D$6&gt;TERM,0,IF(Y6&gt;0,Y6+1,0))</f>
        <v>2023</v>
      </c>
      <c r="AA6" s="196" t="n">
        <f aca="false">IF(Z6+1-$D$6&gt;TERM,0,IF(Z6&gt;0,Z6+1,0))</f>
        <v>2024</v>
      </c>
      <c r="AB6" s="196" t="n">
        <f aca="false">IF(AA6+1-$D$6&gt;TERM,0,IF(AA6&gt;0,AA6+1,0))</f>
        <v>2025</v>
      </c>
      <c r="AC6" s="199" t="n">
        <f aca="false">IF(AB6+1-$D$6&gt;TERM,0,IF(AB6&gt;0,AB6+1,0))</f>
        <v>2026</v>
      </c>
      <c r="AD6" s="200" t="s">
        <v>205</v>
      </c>
    </row>
    <row r="7" customFormat="false" ht="12.75" hidden="false" customHeight="false" outlineLevel="0" collapsed="false">
      <c r="A7" s="57" t="s">
        <v>206</v>
      </c>
      <c r="B7" s="58"/>
      <c r="C7" s="58"/>
      <c r="D7" s="58" t="n">
        <f aca="false">12-MOSYR1+1</f>
        <v>7</v>
      </c>
      <c r="E7" s="58" t="n">
        <f aca="false">IF(E5&lt;=TERM,12,IF(E5=TERM+1,+MOSYR1-1,0))</f>
        <v>12</v>
      </c>
      <c r="F7" s="58" t="n">
        <f aca="false">IF(F5&lt;=TERM,12,IF(F5=TERM+1,+MOSYR1-1,0))</f>
        <v>12</v>
      </c>
      <c r="G7" s="58" t="n">
        <f aca="false">IF(G5&lt;=TERM,12,IF(G5=TERM+1,+MOSYR1-1,0))</f>
        <v>12</v>
      </c>
      <c r="H7" s="58" t="n">
        <f aca="false">IF(H5&lt;=TERM,12,IF(H5=TERM+1,+MOSYR1-1,0))</f>
        <v>12</v>
      </c>
      <c r="I7" s="58" t="n">
        <f aca="false">IF(I5&lt;=TERM,12,IF(I5=TERM+1,+MOSYR1-1,0))</f>
        <v>12</v>
      </c>
      <c r="J7" s="58" t="n">
        <f aca="false">IF(J5&lt;=TERM,12,IF(J5=TERM+1,+MOSYR1-1,0))</f>
        <v>12</v>
      </c>
      <c r="K7" s="58" t="n">
        <f aca="false">IF(K5&lt;=TERM,12,IF(K5=TERM+1,+MOSYR1-1,0))</f>
        <v>12</v>
      </c>
      <c r="L7" s="58" t="n">
        <f aca="false">IF(L5&lt;=TERM,12,IF(L5=TERM+1,+MOSYR1-1,0))</f>
        <v>12</v>
      </c>
      <c r="M7" s="58" t="n">
        <f aca="false">IF(M5&lt;=TERM,12,IF(M5=TERM+1,+MOSYR1-1,0))</f>
        <v>12</v>
      </c>
      <c r="N7" s="115" t="n">
        <f aca="false">IF(N5&lt;=TERM,12,IF(N5=TERM+1,+MOSYR1-1,0))</f>
        <v>12</v>
      </c>
      <c r="O7" s="58" t="n">
        <f aca="false">IF(O5&lt;=TERM,12,IF(O5=TERM+1,+MOSYR1-1,0))</f>
        <v>12</v>
      </c>
      <c r="P7" s="58" t="n">
        <f aca="false">IF(P5&lt;=TERM,12,IF(P5=TERM+1,+MOSYR1-1,0))</f>
        <v>12</v>
      </c>
      <c r="Q7" s="58" t="n">
        <f aca="false">IF(Q5&lt;=TERM,12,IF(Q5=TERM+1,+MOSYR1-1,0))</f>
        <v>12</v>
      </c>
      <c r="R7" s="58" t="n">
        <f aca="false">IF(R5&lt;=TERM,12,IF(R5=TERM+1,+MOSYR1-1,0))</f>
        <v>12</v>
      </c>
      <c r="S7" s="201" t="n">
        <f aca="false">IF(S5&lt;=TERM,12,IF(S5=TERM+1,+MOSYR1-1,0))</f>
        <v>12</v>
      </c>
      <c r="T7" s="58" t="n">
        <f aca="false">IF(T5&lt;=TERM,12,IF(T5=TERM+1,+MOSYR1-1,0))</f>
        <v>12</v>
      </c>
      <c r="U7" s="58" t="n">
        <f aca="false">IF(U5&lt;=TERM,12,IF(U5=TERM+1,+MOSYR1-1,0))</f>
        <v>12</v>
      </c>
      <c r="V7" s="58" t="n">
        <f aca="false">IF(V5&lt;=TERM,12,IF(V5=TERM+1,+MOSYR1-1,0))</f>
        <v>12</v>
      </c>
      <c r="W7" s="58" t="n">
        <f aca="false">IF(W5&lt;=TERM,12,IF(W5=TERM+1,+MOSYR1-1,0))</f>
        <v>12</v>
      </c>
      <c r="X7" s="58" t="n">
        <f aca="false">IF(X5&lt;=TERM,12,IF(X5=TERM+1,+MOSYR1-1,0))</f>
        <v>12</v>
      </c>
      <c r="Y7" s="58" t="n">
        <f aca="false">IF(Y5&lt;=TERM,12,IF(Y5=TERM+1,+MOSYR1-1,0))</f>
        <v>12</v>
      </c>
      <c r="Z7" s="58" t="n">
        <f aca="false">IF(Z5&lt;=TERM,12,IF(Z5=TERM+1,+MOSYR1-1,0))</f>
        <v>12</v>
      </c>
      <c r="AA7" s="58" t="n">
        <f aca="false">IF(AA5&lt;=TERM,12,IF(AA5=TERM+1,+MOSYR1-1,0))</f>
        <v>12</v>
      </c>
      <c r="AB7" s="58" t="n">
        <f aca="false">IF(AB5&lt;=TERM,12,IF(AB5=TERM+1,+MOSYR1-1,0))</f>
        <v>12</v>
      </c>
      <c r="AC7" s="68" t="n">
        <v>0</v>
      </c>
      <c r="AD7" s="202"/>
    </row>
    <row r="8" customFormat="false" ht="12.75" hidden="false" customHeight="false" outlineLevel="0" collapsed="false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60"/>
      <c r="O8" s="30"/>
      <c r="P8" s="30"/>
      <c r="Q8" s="30"/>
      <c r="R8" s="30"/>
      <c r="S8" s="203"/>
      <c r="T8" s="30"/>
      <c r="U8" s="30"/>
      <c r="V8" s="30"/>
      <c r="W8" s="30"/>
      <c r="X8" s="30"/>
      <c r="Y8" s="30"/>
      <c r="Z8" s="30"/>
      <c r="AA8" s="30"/>
      <c r="AB8" s="30"/>
      <c r="AC8" s="34"/>
      <c r="AD8" s="34"/>
    </row>
    <row r="9" customFormat="false" ht="12.75" hidden="false" customHeight="false" outlineLevel="0" collapsed="false">
      <c r="A9" s="18" t="s">
        <v>207</v>
      </c>
      <c r="B9" s="15"/>
      <c r="C9" s="15"/>
      <c r="D9" s="15" t="n">
        <f aca="false">IF(D5&gt;TERM,0,capacity)</f>
        <v>475</v>
      </c>
      <c r="E9" s="15" t="n">
        <f aca="false">IF(E5&gt;TERM,0,capacity)</f>
        <v>475</v>
      </c>
      <c r="F9" s="15" t="n">
        <f aca="false">IF(F5&gt;TERM,0,capacity)</f>
        <v>475</v>
      </c>
      <c r="G9" s="15" t="n">
        <f aca="false">IF(G5&gt;TERM,0,capacity)</f>
        <v>475</v>
      </c>
      <c r="H9" s="15" t="n">
        <f aca="false">IF(H5&gt;TERM,0,capacity)</f>
        <v>475</v>
      </c>
      <c r="I9" s="15" t="n">
        <f aca="false">IF(I5&gt;TERM,0,capacity)</f>
        <v>475</v>
      </c>
      <c r="J9" s="15" t="n">
        <f aca="false">IF(J5&gt;TERM,0,capacity)</f>
        <v>475</v>
      </c>
      <c r="K9" s="15" t="n">
        <f aca="false">IF(K5&gt;TERM,0,capacity)</f>
        <v>475</v>
      </c>
      <c r="L9" s="15" t="n">
        <f aca="false">IF(L5&gt;TERM,0,capacity)</f>
        <v>475</v>
      </c>
      <c r="M9" s="15" t="n">
        <f aca="false">IF(M5&gt;TERM,0,capacity)</f>
        <v>475</v>
      </c>
      <c r="N9" s="134" t="n">
        <f aca="false">IF(N5&gt;TERM,0,capacity)</f>
        <v>475</v>
      </c>
      <c r="O9" s="15" t="n">
        <f aca="false">IF(O5&gt;TERM,0,capacity)</f>
        <v>475</v>
      </c>
      <c r="P9" s="15" t="n">
        <f aca="false">IF(P5&gt;TERM,0,capacity)</f>
        <v>475</v>
      </c>
      <c r="Q9" s="15" t="n">
        <f aca="false">IF(Q5&gt;TERM,0,capacity)</f>
        <v>475</v>
      </c>
      <c r="R9" s="15" t="n">
        <f aca="false">IF(R5&gt;TERM,0,capacity)</f>
        <v>475</v>
      </c>
      <c r="S9" s="193" t="e">
        <f aca="false">IF(S5&gt;TERM+1,0,capacity)</f>
        <v>#VALUE!</v>
      </c>
      <c r="T9" s="15" t="n">
        <f aca="false">IF(T5&gt;TERM,0,capacity)</f>
        <v>475</v>
      </c>
      <c r="U9" s="15" t="n">
        <f aca="false">IF(U5&gt;TERM,0,capacity)</f>
        <v>475</v>
      </c>
      <c r="V9" s="15" t="n">
        <f aca="false">IF(V5&gt;TERM,0,capacity)</f>
        <v>475</v>
      </c>
      <c r="W9" s="15" t="n">
        <f aca="false">IF(W5&gt;TERM,0,capacity)</f>
        <v>475</v>
      </c>
      <c r="X9" s="15" t="n">
        <f aca="false">IF(X5&gt;TERM,0,capacity)</f>
        <v>475</v>
      </c>
      <c r="Y9" s="15" t="n">
        <f aca="false">IF(Y5&gt;TERM,0,capacity)</f>
        <v>475</v>
      </c>
      <c r="Z9" s="15" t="n">
        <f aca="false">IF(Z5&gt;TERM,0,capacity)</f>
        <v>475</v>
      </c>
      <c r="AA9" s="15" t="n">
        <f aca="false">IF(AA5&gt;TERM,0,capacity)</f>
        <v>475</v>
      </c>
      <c r="AB9" s="15" t="n">
        <f aca="false">IF(AB5&gt;TERM,0,capacity)</f>
        <v>475</v>
      </c>
      <c r="AC9" s="15" t="n">
        <f aca="false">IF(AC5&gt;TERM,0,capacity)</f>
        <v>475</v>
      </c>
      <c r="AD9" s="194"/>
    </row>
    <row r="10" customFormat="false" ht="12.75" hidden="false" customHeight="false" outlineLevel="0" collapsed="false">
      <c r="A10" s="30" t="s">
        <v>208</v>
      </c>
      <c r="B10" s="30"/>
      <c r="C10" s="30"/>
      <c r="D10" s="204" t="n">
        <f aca="false">24*365*D9*avail*dispatch*D7/12</f>
        <v>2427250</v>
      </c>
      <c r="E10" s="204" t="n">
        <f aca="false">24*365*E9*avail*dispatch*E7/12</f>
        <v>4161000</v>
      </c>
      <c r="F10" s="204" t="n">
        <f aca="false">24*365*F9*avail*dispatch*F7/12</f>
        <v>4161000</v>
      </c>
      <c r="G10" s="204" t="n">
        <f aca="false">24*365*G9*avail*dispatch*G7/12</f>
        <v>4161000</v>
      </c>
      <c r="H10" s="204" t="n">
        <f aca="false">24*365*H9*avail*dispatch*H7/12</f>
        <v>4161000</v>
      </c>
      <c r="I10" s="204" t="n">
        <f aca="false">24*365*I9*avail*dispatch*I7/12</f>
        <v>4161000</v>
      </c>
      <c r="J10" s="204" t="n">
        <f aca="false">24*365*J9*avail*dispatch*J7/12</f>
        <v>4161000</v>
      </c>
      <c r="K10" s="204" t="n">
        <f aca="false">24*365*K9*avail*dispatch*K7/12</f>
        <v>4161000</v>
      </c>
      <c r="L10" s="204" t="n">
        <f aca="false">24*365*L9*avail*dispatch*L7/12</f>
        <v>4161000</v>
      </c>
      <c r="M10" s="204" t="n">
        <f aca="false">24*365*M9*avail*dispatch*M7/12</f>
        <v>4161000</v>
      </c>
      <c r="N10" s="205" t="n">
        <f aca="false">24*365*N9*avail*dispatch*N7/12</f>
        <v>4161000</v>
      </c>
      <c r="O10" s="204" t="n">
        <f aca="false">24*365*O9*avail*dispatch*O7/12</f>
        <v>4161000</v>
      </c>
      <c r="P10" s="204" t="n">
        <f aca="false">24*365*P9*avail*dispatch*P7/12</f>
        <v>4161000</v>
      </c>
      <c r="Q10" s="204" t="n">
        <f aca="false">24*365*Q9*avail*dispatch*Q7/12</f>
        <v>4161000</v>
      </c>
      <c r="R10" s="204" t="n">
        <f aca="false">24*365*R9*avail*dispatch*R7/12</f>
        <v>4161000</v>
      </c>
      <c r="S10" s="206" t="e">
        <f aca="false">24*365*S9*avail*dispatch*S7/12</f>
        <v>#VALUE!</v>
      </c>
      <c r="T10" s="204" t="n">
        <f aca="false">24*365*T9*avail*dispatch*T7/12</f>
        <v>4161000</v>
      </c>
      <c r="U10" s="204" t="n">
        <f aca="false">24*365*U9*avail*dispatch*U7/12</f>
        <v>4161000</v>
      </c>
      <c r="V10" s="204" t="n">
        <f aca="false">24*365*V9*avail*dispatch*V7/12</f>
        <v>4161000</v>
      </c>
      <c r="W10" s="204" t="n">
        <f aca="false">24*365*W9*avail*dispatch*W7/12</f>
        <v>4161000</v>
      </c>
      <c r="X10" s="204" t="n">
        <f aca="false">24*365*X9*avail*dispatch*X7/12</f>
        <v>4161000</v>
      </c>
      <c r="Y10" s="204" t="n">
        <f aca="false">24*365*Y9*avail*dispatch*Y7/12</f>
        <v>4161000</v>
      </c>
      <c r="Z10" s="204" t="n">
        <f aca="false">24*365*Z9*avail*dispatch*Z7/12</f>
        <v>4161000</v>
      </c>
      <c r="AA10" s="204" t="n">
        <f aca="false">24*365*AA9*avail*dispatch*AA7/12</f>
        <v>4161000</v>
      </c>
      <c r="AB10" s="204" t="n">
        <f aca="false">24*365*AB9*avail*dispatch*AB7/12</f>
        <v>4161000</v>
      </c>
      <c r="AC10" s="204" t="n">
        <f aca="false">24*365*AC9</f>
        <v>4161000</v>
      </c>
      <c r="AD10" s="207"/>
    </row>
    <row r="11" customFormat="false" ht="12.75" hidden="false" customHeight="false" outlineLevel="0" collapsed="false">
      <c r="A11" s="57" t="s">
        <v>209</v>
      </c>
      <c r="B11" s="58"/>
      <c r="C11" s="58"/>
      <c r="D11" s="208" t="n">
        <f aca="false">D10*(1-Loss-ASS!$D$39)</f>
        <v>2354432.5</v>
      </c>
      <c r="E11" s="208" t="n">
        <f aca="false">E10*(1-Loss-ASS!$D$39)</f>
        <v>4036170</v>
      </c>
      <c r="F11" s="208" t="n">
        <f aca="false">F10*(1-Loss-ASS!$D$39)</f>
        <v>4036170</v>
      </c>
      <c r="G11" s="208" t="n">
        <f aca="false">G10*(1-Loss-ASS!$D$39)</f>
        <v>4036170</v>
      </c>
      <c r="H11" s="208" t="n">
        <f aca="false">H10*(1-Loss-ASS!$D$39)</f>
        <v>4036170</v>
      </c>
      <c r="I11" s="208" t="n">
        <f aca="false">I10*(1-Loss-ASS!$D$39)</f>
        <v>4036170</v>
      </c>
      <c r="J11" s="208" t="n">
        <f aca="false">J10*(1-Loss-ASS!$D$39)</f>
        <v>4036170</v>
      </c>
      <c r="K11" s="208" t="n">
        <f aca="false">K10*(1-Loss-ASS!$D$39)</f>
        <v>4036170</v>
      </c>
      <c r="L11" s="208" t="n">
        <f aca="false">L10*(1-Loss-ASS!$D$39)</f>
        <v>4036170</v>
      </c>
      <c r="M11" s="208" t="n">
        <f aca="false">M10*(1-Loss-ASS!$D$39)</f>
        <v>4036170</v>
      </c>
      <c r="N11" s="209" t="n">
        <f aca="false">N10*(1-Loss-ASS!$D$39)</f>
        <v>4036170</v>
      </c>
      <c r="O11" s="208" t="n">
        <f aca="false">O10*(1-Loss-ASS!$D$39)</f>
        <v>4036170</v>
      </c>
      <c r="P11" s="208" t="n">
        <f aca="false">P10*(1-Loss-ASS!$D$39)</f>
        <v>4036170</v>
      </c>
      <c r="Q11" s="208" t="n">
        <f aca="false">Q10*(1-Loss-ASS!$D$39)</f>
        <v>4036170</v>
      </c>
      <c r="R11" s="208" t="n">
        <f aca="false">R10*(1-Loss-ASS!$D$39)</f>
        <v>4036170</v>
      </c>
      <c r="S11" s="210" t="e">
        <f aca="false">S10*(1-Loss-ASS!$D$39)</f>
        <v>#VALUE!</v>
      </c>
      <c r="T11" s="208" t="n">
        <f aca="false">T10*(1-Loss-ASS!$D$39)</f>
        <v>4036170</v>
      </c>
      <c r="U11" s="208" t="n">
        <f aca="false">U10*(1-Loss-ASS!$D$39)</f>
        <v>4036170</v>
      </c>
      <c r="V11" s="208" t="n">
        <f aca="false">V10*(1-Loss-ASS!$D$39)</f>
        <v>4036170</v>
      </c>
      <c r="W11" s="208" t="n">
        <f aca="false">W10*(1-Loss-ASS!$D$39)</f>
        <v>4036170</v>
      </c>
      <c r="X11" s="208" t="n">
        <f aca="false">X10*(1-Loss-ASS!$D$39)</f>
        <v>4036170</v>
      </c>
      <c r="Y11" s="208" t="n">
        <f aca="false">Y10*(1-Loss-ASS!$D$39)</f>
        <v>4036170</v>
      </c>
      <c r="Z11" s="208" t="n">
        <f aca="false">Z10*(1-Loss-ASS!$D$39)</f>
        <v>4036170</v>
      </c>
      <c r="AA11" s="208" t="n">
        <f aca="false">AA10*(1-Loss-ASS!$D$39)</f>
        <v>4036170</v>
      </c>
      <c r="AB11" s="208" t="n">
        <f aca="false">AB10*(1-Loss-ASS!$D$39)</f>
        <v>4036170</v>
      </c>
      <c r="AC11" s="211" t="n">
        <f aca="false">AC10*(1-Loss-ASS!$D$39)</f>
        <v>4036170</v>
      </c>
      <c r="AD11" s="202"/>
    </row>
    <row r="12" customFormat="false" ht="12.75" hidden="false" customHeight="false" outlineLevel="0" collapsed="false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60"/>
      <c r="O12" s="30"/>
      <c r="P12" s="30"/>
      <c r="Q12" s="30"/>
      <c r="R12" s="30"/>
      <c r="S12" s="203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207"/>
    </row>
    <row r="13" customFormat="false" ht="12.75" hidden="false" customHeight="false" outlineLevel="0" collapsed="false">
      <c r="A13" s="35" t="s">
        <v>210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207"/>
    </row>
    <row r="14" customFormat="false" ht="12.75" hidden="false" customHeight="false" outlineLevel="0" collapsed="false">
      <c r="A14" s="101" t="s">
        <v>211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207"/>
    </row>
    <row r="15" customFormat="false" ht="12.75" hidden="false" customHeight="false" outlineLevel="0" collapsed="false">
      <c r="A15" s="29" t="s">
        <v>97</v>
      </c>
      <c r="B15" s="30"/>
      <c r="C15" s="30"/>
      <c r="D15" s="212" t="n">
        <f aca="false">capacity*TARIFF*D7*(1+ASS!$E$26)^(CF!D6-ASS!$C$21)</f>
        <v>0</v>
      </c>
      <c r="E15" s="212" t="n">
        <f aca="false">capacity*TARIFF*E7*(1+ASS!$E$26)^(CF!E6-ASS!$C$21)</f>
        <v>0</v>
      </c>
      <c r="F15" s="212" t="n">
        <f aca="false">capacity*TARIFF*F7*(1+ASS!$E$26)^(CF!F6-ASS!$C$21)</f>
        <v>0</v>
      </c>
      <c r="G15" s="212" t="n">
        <f aca="false">capacity*TARIFF*G7*(1+ASS!$E$26)^(CF!G6-ASS!$C$21)</f>
        <v>0</v>
      </c>
      <c r="H15" s="212" t="n">
        <f aca="false">capacity*TARIFF*H7*(1+ASS!$E$26)^(CF!H6-ASS!$C$21)</f>
        <v>0</v>
      </c>
      <c r="I15" s="212" t="n">
        <f aca="false">capacity*TARIFF*I7*(1+ASS!$E$26)^(CF!I6-ASS!$C$21)</f>
        <v>0</v>
      </c>
      <c r="J15" s="212" t="n">
        <f aca="false">capacity*TARIFF*J7*(1+ASS!$E$26)^(CF!J6-ASS!$C$21)</f>
        <v>0</v>
      </c>
      <c r="K15" s="212" t="n">
        <f aca="false">capacity*TARIFF*K7*(1+ASS!$E$26)^(CF!K6-ASS!$C$21)</f>
        <v>0</v>
      </c>
      <c r="L15" s="212" t="n">
        <f aca="false">capacity*TARIFF*L7*(1+ASS!$E$26)^(CF!L6-ASS!$C$21)</f>
        <v>0</v>
      </c>
      <c r="M15" s="212" t="n">
        <f aca="false">capacity*TARIFF*M7*(1+ASS!$E$26)^(CF!M6-ASS!$C$21)</f>
        <v>0</v>
      </c>
      <c r="N15" s="212" t="n">
        <f aca="false">capacity*TARIFF*N7*(1+ASS!$E$26)^(CF!N6-ASS!$C$21)</f>
        <v>0</v>
      </c>
      <c r="O15" s="212" t="n">
        <f aca="false">capacity*TARIFF*O7*(1+ASS!$E$26)^(CF!O6-ASS!$C$21)</f>
        <v>0</v>
      </c>
      <c r="P15" s="212" t="n">
        <f aca="false">capacity*TARIFF*P7*(1+ASS!$E$26)^(CF!P6-ASS!$C$21)</f>
        <v>0</v>
      </c>
      <c r="Q15" s="212" t="n">
        <f aca="false">capacity*TARIFF*Q7*(1+ASS!$E$26)^(CF!Q6-ASS!$C$21)</f>
        <v>0</v>
      </c>
      <c r="R15" s="212" t="n">
        <f aca="false">capacity*TARIFF*R7*(1+ASS!$E$26)^(CF!R6-ASS!$C$21)</f>
        <v>0</v>
      </c>
      <c r="S15" s="212" t="n">
        <f aca="false">capacity*TARIFF*S7*(1+ASS!$E$26)^(CF!S6-ASS!$C$21)</f>
        <v>0</v>
      </c>
      <c r="T15" s="212" t="n">
        <f aca="false">capacity*TARIFF*T7*(1+ASS!$E$26)^(CF!T6-ASS!$C$21)</f>
        <v>0</v>
      </c>
      <c r="U15" s="212" t="n">
        <f aca="false">capacity*TARIFF*U7*(1+ASS!$E$26)^(CF!U6-ASS!$C$21)</f>
        <v>0</v>
      </c>
      <c r="V15" s="212" t="n">
        <f aca="false">capacity*TARIFF*V7*(1+ASS!$E$26)^(CF!V6-ASS!$C$21)</f>
        <v>0</v>
      </c>
      <c r="W15" s="212" t="n">
        <f aca="false">capacity*TARIFF*W7*(1+ASS!$E$26)^(CF!W6-ASS!$C$21)</f>
        <v>0</v>
      </c>
      <c r="X15" s="212" t="n">
        <f aca="false">capacity*TARIFF*X7*(1+ASS!$E$26)^(CF!X6-ASS!$C$21)</f>
        <v>0</v>
      </c>
      <c r="Y15" s="212" t="n">
        <f aca="false">capacity*TARIFF*Y7*(1+ASS!$E$26)^(CF!Y6-ASS!$C$21)</f>
        <v>0</v>
      </c>
      <c r="Z15" s="212" t="n">
        <f aca="false">capacity*TARIFF*Z7*(1+ASS!$E$26)^(CF!Z6-ASS!$C$21)</f>
        <v>0</v>
      </c>
      <c r="AA15" s="212" t="n">
        <f aca="false">capacity*TARIFF*AA7*(1+ASS!$E$26)^(CF!AA6-ASS!$C$21)</f>
        <v>0</v>
      </c>
      <c r="AB15" s="212" t="n">
        <f aca="false">capacity*TARIFF*AB7*(1+ASS!$E$26)^(CF!AB6-ASS!$C$21)</f>
        <v>0</v>
      </c>
      <c r="AC15" s="212" t="n">
        <f aca="false">capacity*TARIFF*AC7*(1+ASS!$E$26)^(CF!AC6-ASS!$C$21)</f>
        <v>0</v>
      </c>
      <c r="AD15" s="213" t="n">
        <f aca="false">SUM(D15:AC15)</f>
        <v>0</v>
      </c>
    </row>
    <row r="16" customFormat="false" ht="12.75" hidden="false" customHeight="false" outlineLevel="0" collapsed="false">
      <c r="A16" s="29"/>
      <c r="B16" s="30"/>
      <c r="C16" s="30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3"/>
    </row>
    <row r="17" customFormat="false" ht="12.75" hidden="false" customHeight="false" outlineLevel="0" collapsed="false">
      <c r="A17" s="101" t="s">
        <v>108</v>
      </c>
      <c r="B17" s="214" t="s">
        <v>212</v>
      </c>
      <c r="C17" s="214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3"/>
    </row>
    <row r="18" customFormat="false" ht="12.75" hidden="false" customHeight="false" outlineLevel="0" collapsed="false">
      <c r="A18" s="29" t="s">
        <v>213</v>
      </c>
      <c r="B18" s="30"/>
      <c r="C18" s="30"/>
      <c r="D18" s="212" t="n">
        <f aca="false">D68</f>
        <v>80819.865</v>
      </c>
      <c r="E18" s="212" t="n">
        <f aca="false">E68</f>
        <v>137895.636</v>
      </c>
      <c r="F18" s="212" t="n">
        <f aca="false">F68</f>
        <v>138075.39312</v>
      </c>
      <c r="G18" s="212" t="n">
        <f aca="false">G68</f>
        <v>138588.2965824</v>
      </c>
      <c r="H18" s="212" t="n">
        <f aca="false">H68</f>
        <v>139517.571714048</v>
      </c>
      <c r="I18" s="212" t="n">
        <f aca="false">I68</f>
        <v>140322.293948329</v>
      </c>
      <c r="J18" s="212" t="n">
        <f aca="false">J68</f>
        <v>142209.158827296</v>
      </c>
      <c r="K18" s="212" t="n">
        <f aca="false">K68</f>
        <v>143555.382003841</v>
      </c>
      <c r="L18" s="212" t="n">
        <f aca="false">L68</f>
        <v>145193.169243918</v>
      </c>
      <c r="M18" s="212" t="n">
        <f aca="false">M68</f>
        <v>147039.306428797</v>
      </c>
      <c r="N18" s="212" t="n">
        <f aca="false">N68</f>
        <v>148844.139557373</v>
      </c>
      <c r="O18" s="212" t="n">
        <f aca="false">O68</f>
        <v>150441.23474852</v>
      </c>
      <c r="P18" s="212" t="n">
        <f aca="false">P68</f>
        <v>152746.01824349</v>
      </c>
      <c r="Q18" s="212" t="n">
        <f aca="false">Q68</f>
        <v>153844.43640836</v>
      </c>
      <c r="R18" s="212" t="n">
        <f aca="false">R68</f>
        <v>155608.945736527</v>
      </c>
      <c r="S18" s="212" t="e">
        <f aca="false">S68</f>
        <v>#VALUE!</v>
      </c>
      <c r="T18" s="212" t="n">
        <f aca="false">T68</f>
        <v>896.154508283152</v>
      </c>
      <c r="U18" s="212" t="n">
        <f aca="false">U68</f>
        <v>914.077598448815</v>
      </c>
      <c r="V18" s="212" t="n">
        <f aca="false">V68</f>
        <v>932.359150417791</v>
      </c>
      <c r="W18" s="212" t="n">
        <f aca="false">W68</f>
        <v>951.006333426147</v>
      </c>
      <c r="X18" s="212" t="n">
        <f aca="false">X68</f>
        <v>970.02646009467</v>
      </c>
      <c r="Y18" s="212" t="n">
        <f aca="false">Y68</f>
        <v>989.426989296563</v>
      </c>
      <c r="Z18" s="212" t="n">
        <f aca="false">Z68</f>
        <v>1009.21552908249</v>
      </c>
      <c r="AA18" s="212" t="n">
        <f aca="false">AA68</f>
        <v>1029.39983966414</v>
      </c>
      <c r="AB18" s="212" t="n">
        <f aca="false">AB68</f>
        <v>1049.98783645743</v>
      </c>
      <c r="AC18" s="212" t="n">
        <f aca="false">AC68</f>
        <v>0</v>
      </c>
      <c r="AD18" s="213" t="e">
        <f aca="false">SUM(D18:AC18)</f>
        <v>#VALUE!</v>
      </c>
    </row>
    <row r="19" customFormat="false" ht="12.75" hidden="false" customHeight="false" outlineLevel="0" collapsed="false">
      <c r="A19" s="29" t="str">
        <f aca="false">A44</f>
        <v>     Replacement Power Cost</v>
      </c>
      <c r="B19" s="30"/>
      <c r="C19" s="30"/>
      <c r="D19" s="212" t="n">
        <f aca="false">D44</f>
        <v>0</v>
      </c>
      <c r="E19" s="212" t="n">
        <f aca="false">E44</f>
        <v>0</v>
      </c>
      <c r="F19" s="212" t="n">
        <f aca="false">F44</f>
        <v>0</v>
      </c>
      <c r="G19" s="212" t="n">
        <f aca="false">G44</f>
        <v>0</v>
      </c>
      <c r="H19" s="212" t="n">
        <f aca="false">H44</f>
        <v>0</v>
      </c>
      <c r="I19" s="212" t="n">
        <f aca="false">I44</f>
        <v>0</v>
      </c>
      <c r="J19" s="212" t="n">
        <f aca="false">J44</f>
        <v>0</v>
      </c>
      <c r="K19" s="212" t="n">
        <f aca="false">K44</f>
        <v>0</v>
      </c>
      <c r="L19" s="212" t="n">
        <f aca="false">L44</f>
        <v>0</v>
      </c>
      <c r="M19" s="212" t="n">
        <f aca="false">M44</f>
        <v>0</v>
      </c>
      <c r="N19" s="212" t="n">
        <f aca="false">N44</f>
        <v>0</v>
      </c>
      <c r="O19" s="212" t="n">
        <f aca="false">O44</f>
        <v>0</v>
      </c>
      <c r="P19" s="212" t="n">
        <f aca="false">P44</f>
        <v>0</v>
      </c>
      <c r="Q19" s="212" t="n">
        <f aca="false">Q44</f>
        <v>0</v>
      </c>
      <c r="R19" s="212" t="n">
        <f aca="false">R44</f>
        <v>0</v>
      </c>
      <c r="S19" s="212" t="n">
        <f aca="false">S44</f>
        <v>0</v>
      </c>
      <c r="T19" s="212" t="n">
        <f aca="false">T44</f>
        <v>0</v>
      </c>
      <c r="U19" s="212" t="n">
        <f aca="false">U44</f>
        <v>0</v>
      </c>
      <c r="V19" s="212" t="n">
        <f aca="false">V44</f>
        <v>0</v>
      </c>
      <c r="W19" s="212" t="n">
        <f aca="false">W44</f>
        <v>0</v>
      </c>
      <c r="X19" s="212" t="n">
        <f aca="false">X44</f>
        <v>0</v>
      </c>
      <c r="Y19" s="212" t="n">
        <f aca="false">Y44</f>
        <v>0</v>
      </c>
      <c r="Z19" s="212" t="n">
        <f aca="false">Z44</f>
        <v>0</v>
      </c>
      <c r="AA19" s="212" t="n">
        <f aca="false">AA44</f>
        <v>0</v>
      </c>
      <c r="AB19" s="212" t="n">
        <f aca="false">AB44</f>
        <v>0</v>
      </c>
      <c r="AC19" s="212" t="n">
        <f aca="false">AC44</f>
        <v>0</v>
      </c>
      <c r="AD19" s="213" t="n">
        <f aca="false">SUM(D19:AC19)</f>
        <v>0</v>
      </c>
    </row>
    <row r="20" customFormat="false" ht="12.75" hidden="false" customHeight="false" outlineLevel="0" collapsed="false">
      <c r="A20" s="29" t="s">
        <v>117</v>
      </c>
      <c r="B20" s="30"/>
      <c r="C20" s="30"/>
      <c r="D20" s="215" t="n">
        <f aca="false">D10*ASS!$C$31/100</f>
        <v>0</v>
      </c>
      <c r="E20" s="215" t="n">
        <f aca="false">E10*ASS!$C$31/100</f>
        <v>0</v>
      </c>
      <c r="F20" s="215" t="n">
        <f aca="false">F10*ASS!$C$31/100</f>
        <v>0</v>
      </c>
      <c r="G20" s="215" t="n">
        <f aca="false">G10*ASS!$C$31/100</f>
        <v>0</v>
      </c>
      <c r="H20" s="215" t="n">
        <f aca="false">H10*ASS!$C$31/100</f>
        <v>0</v>
      </c>
      <c r="I20" s="215" t="n">
        <f aca="false">I10*ASS!$C$31/100</f>
        <v>0</v>
      </c>
      <c r="J20" s="215" t="n">
        <f aca="false">J10*ASS!$C$31/100</f>
        <v>0</v>
      </c>
      <c r="K20" s="215" t="n">
        <f aca="false">K10*ASS!$C$31/100</f>
        <v>0</v>
      </c>
      <c r="L20" s="215" t="n">
        <f aca="false">L10*ASS!$C$31/100</f>
        <v>0</v>
      </c>
      <c r="M20" s="215" t="n">
        <f aca="false">M10*ASS!$C$31/100</f>
        <v>0</v>
      </c>
      <c r="N20" s="215" t="n">
        <f aca="false">N10*ASS!$C$31/100</f>
        <v>0</v>
      </c>
      <c r="O20" s="215" t="n">
        <f aca="false">O10*ASS!$C$31/100</f>
        <v>0</v>
      </c>
      <c r="P20" s="215" t="n">
        <f aca="false">P10*ASS!$C$31/100</f>
        <v>0</v>
      </c>
      <c r="Q20" s="215" t="n">
        <f aca="false">Q10*ASS!$C$31/100</f>
        <v>0</v>
      </c>
      <c r="R20" s="215" t="n">
        <f aca="false">R10*ASS!$C$31/100</f>
        <v>0</v>
      </c>
      <c r="S20" s="215" t="e">
        <f aca="false">S10*ASS!$C$31/100</f>
        <v>#VALUE!</v>
      </c>
      <c r="T20" s="215" t="n">
        <f aca="false">T10*ASS!$C$31/100</f>
        <v>0</v>
      </c>
      <c r="U20" s="215" t="n">
        <f aca="false">U10*ASS!$C$31/100</f>
        <v>0</v>
      </c>
      <c r="V20" s="215" t="n">
        <f aca="false">V10*ASS!$C$31/100</f>
        <v>0</v>
      </c>
      <c r="W20" s="215" t="n">
        <f aca="false">W10*ASS!$C$31/100</f>
        <v>0</v>
      </c>
      <c r="X20" s="215" t="n">
        <f aca="false">X10*ASS!$C$31/100</f>
        <v>0</v>
      </c>
      <c r="Y20" s="215" t="n">
        <f aca="false">Y10*ASS!$C$31/100</f>
        <v>0</v>
      </c>
      <c r="Z20" s="215" t="n">
        <f aca="false">Z10*ASS!$C$31/100</f>
        <v>0</v>
      </c>
      <c r="AA20" s="215" t="n">
        <f aca="false">AA10*ASS!$C$31/100</f>
        <v>0</v>
      </c>
      <c r="AB20" s="215" t="n">
        <f aca="false">AB10*ASS!$C$31/100</f>
        <v>0</v>
      </c>
      <c r="AC20" s="215" t="n">
        <f aca="false">AC10*ASS!$C$31/100</f>
        <v>0</v>
      </c>
      <c r="AD20" s="216" t="e">
        <f aca="false">SUM(D20:AC20)</f>
        <v>#VALUE!</v>
      </c>
    </row>
    <row r="21" customFormat="false" ht="12.75" hidden="false" customHeight="false" outlineLevel="0" collapsed="false">
      <c r="A21" s="29" t="s">
        <v>214</v>
      </c>
      <c r="B21" s="30"/>
      <c r="C21" s="30"/>
      <c r="D21" s="212" t="n">
        <f aca="false">SUM(D18:D20)</f>
        <v>80819.865</v>
      </c>
      <c r="E21" s="212" t="n">
        <f aca="false">SUM(E18:E20)</f>
        <v>137895.636</v>
      </c>
      <c r="F21" s="212" t="n">
        <f aca="false">SUM(F18:F20)</f>
        <v>138075.39312</v>
      </c>
      <c r="G21" s="212" t="n">
        <f aca="false">SUM(G18:G20)</f>
        <v>138588.2965824</v>
      </c>
      <c r="H21" s="212" t="n">
        <f aca="false">SUM(H18:H20)</f>
        <v>139517.571714048</v>
      </c>
      <c r="I21" s="212" t="n">
        <f aca="false">SUM(I18:I20)</f>
        <v>140322.293948329</v>
      </c>
      <c r="J21" s="212" t="n">
        <f aca="false">SUM(J18:J20)</f>
        <v>142209.158827296</v>
      </c>
      <c r="K21" s="212" t="n">
        <f aca="false">SUM(K18:K20)</f>
        <v>143555.382003841</v>
      </c>
      <c r="L21" s="212" t="n">
        <f aca="false">SUM(L18:L20)</f>
        <v>145193.169243918</v>
      </c>
      <c r="M21" s="212" t="n">
        <f aca="false">SUM(M18:M20)</f>
        <v>147039.306428797</v>
      </c>
      <c r="N21" s="212" t="n">
        <f aca="false">SUM(N18:N20)</f>
        <v>148844.139557373</v>
      </c>
      <c r="O21" s="212" t="n">
        <f aca="false">SUM(O18:O20)</f>
        <v>150441.23474852</v>
      </c>
      <c r="P21" s="212" t="n">
        <f aca="false">SUM(P18:P20)</f>
        <v>152746.01824349</v>
      </c>
      <c r="Q21" s="212" t="n">
        <f aca="false">SUM(Q18:Q20)</f>
        <v>153844.43640836</v>
      </c>
      <c r="R21" s="212" t="n">
        <f aca="false">SUM(R18:R20)</f>
        <v>155608.945736527</v>
      </c>
      <c r="S21" s="212" t="e">
        <f aca="false">SUM(S18:S20)</f>
        <v>#VALUE!</v>
      </c>
      <c r="T21" s="212" t="n">
        <f aca="false">SUM(T18:T20)</f>
        <v>896.154508283152</v>
      </c>
      <c r="U21" s="212" t="n">
        <f aca="false">SUM(U18:U20)</f>
        <v>914.077598448815</v>
      </c>
      <c r="V21" s="212" t="n">
        <f aca="false">SUM(V18:V20)</f>
        <v>932.359150417791</v>
      </c>
      <c r="W21" s="212" t="n">
        <f aca="false">SUM(W18:W20)</f>
        <v>951.006333426147</v>
      </c>
      <c r="X21" s="212" t="n">
        <f aca="false">SUM(X18:X20)</f>
        <v>970.02646009467</v>
      </c>
      <c r="Y21" s="212" t="n">
        <f aca="false">SUM(Y18:Y20)</f>
        <v>989.426989296563</v>
      </c>
      <c r="Z21" s="212" t="n">
        <f aca="false">SUM(Z18:Z20)</f>
        <v>1009.21552908249</v>
      </c>
      <c r="AA21" s="212" t="n">
        <f aca="false">SUM(AA18:AA20)</f>
        <v>1029.39983966414</v>
      </c>
      <c r="AB21" s="212" t="n">
        <f aca="false">SUM(AB18:AB20)</f>
        <v>1049.98783645743</v>
      </c>
      <c r="AC21" s="212" t="n">
        <f aca="false">SUM(AC18:AC20)</f>
        <v>0</v>
      </c>
      <c r="AD21" s="213" t="e">
        <f aca="false">SUM(D21:AC21)</f>
        <v>#VALUE!</v>
      </c>
    </row>
    <row r="22" customFormat="false" ht="12.75" hidden="false" customHeight="false" outlineLevel="0" collapsed="false">
      <c r="A22" s="29"/>
      <c r="B22" s="30"/>
      <c r="C22" s="30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3"/>
    </row>
    <row r="23" customFormat="false" ht="12.75" hidden="false" customHeight="false" outlineLevel="0" collapsed="false">
      <c r="A23" s="29" t="s">
        <v>215</v>
      </c>
      <c r="B23" s="30"/>
      <c r="C23" s="30"/>
      <c r="D23" s="212" t="n">
        <f aca="false">ASS!$D$64*BS_IS!F9*D7/12</f>
        <v>0</v>
      </c>
      <c r="E23" s="212" t="n">
        <f aca="false">ASS!$D$64*BS_IS!G9*E7/12</f>
        <v>0</v>
      </c>
      <c r="F23" s="212" t="n">
        <f aca="false">ASS!$D$64*BS_IS!H9*F7/12</f>
        <v>0</v>
      </c>
      <c r="G23" s="212" t="n">
        <f aca="false">ASS!$D$64*BS_IS!I9*G7/12</f>
        <v>0</v>
      </c>
      <c r="H23" s="212" t="n">
        <f aca="false">ASS!$D$64*BS_IS!J9*H7/12</f>
        <v>0</v>
      </c>
      <c r="I23" s="212" t="n">
        <f aca="false">ASS!$D$64*BS_IS!K9*I7/12</f>
        <v>0</v>
      </c>
      <c r="J23" s="212" t="n">
        <f aca="false">ASS!$D$64*BS_IS!L9*J7/12</f>
        <v>0</v>
      </c>
      <c r="K23" s="212" t="n">
        <f aca="false">ASS!$D$64*BS_IS!M9*K7/12</f>
        <v>0</v>
      </c>
      <c r="L23" s="212" t="n">
        <f aca="false">ASS!$D$64*BS_IS!N9*L7/12</f>
        <v>0</v>
      </c>
      <c r="M23" s="212" t="n">
        <f aca="false">ASS!$D$64*BS_IS!O9*M7/12</f>
        <v>0</v>
      </c>
      <c r="N23" s="212" t="n">
        <f aca="false">ASS!$D$64*BS_IS!P9*N7/12</f>
        <v>0</v>
      </c>
      <c r="O23" s="212" t="n">
        <f aca="false">ASS!$D$64*BS_IS!Q9*O7/12</f>
        <v>0</v>
      </c>
      <c r="P23" s="212" t="n">
        <f aca="false">ASS!$D$64*BS_IS!R9*P7/12</f>
        <v>0</v>
      </c>
      <c r="Q23" s="212" t="n">
        <f aca="false">ASS!$D$64*BS_IS!S9*Q7/12</f>
        <v>0</v>
      </c>
      <c r="R23" s="212" t="n">
        <f aca="false">ASS!$D$64*BS_IS!T9*R7/12</f>
        <v>0</v>
      </c>
      <c r="S23" s="212" t="n">
        <f aca="false">ASS!$D$64*BS_IS!U9*S7/12</f>
        <v>0</v>
      </c>
      <c r="T23" s="212" t="n">
        <f aca="false">ASS!$D$64*BS_IS!V9*T7/12</f>
        <v>0</v>
      </c>
      <c r="U23" s="212" t="n">
        <f aca="false">ASS!$D$64*BS_IS!W9*U7/12</f>
        <v>0</v>
      </c>
      <c r="V23" s="212" t="n">
        <f aca="false">ASS!$D$64*BS_IS!X9*V7/12</f>
        <v>0</v>
      </c>
      <c r="W23" s="212" t="n">
        <f aca="false">ASS!$D$64*BS_IS!Y9*W7/12</f>
        <v>0</v>
      </c>
      <c r="X23" s="212" t="n">
        <f aca="false">ASS!$D$64*BS_IS!Z9*X7/12</f>
        <v>0</v>
      </c>
      <c r="Y23" s="212" t="n">
        <f aca="false">ASS!$D$64*BS_IS!AA9*Y7/12</f>
        <v>0</v>
      </c>
      <c r="Z23" s="212" t="n">
        <f aca="false">ASS!$D$64*BS_IS!AB9*Z7/12</f>
        <v>0</v>
      </c>
      <c r="AA23" s="212" t="n">
        <f aca="false">ASS!$D$64*BS_IS!AC9*AA7/12</f>
        <v>0</v>
      </c>
      <c r="AB23" s="212" t="n">
        <f aca="false">ASS!$D$64*BS_IS!AD9*AB7/12</f>
        <v>0</v>
      </c>
      <c r="AC23" s="212" t="n">
        <f aca="false">ASS!$D$64*BS_IS!AE9*AC7/12</f>
        <v>0</v>
      </c>
      <c r="AD23" s="213"/>
    </row>
    <row r="24" customFormat="false" ht="12.75" hidden="false" customHeight="false" outlineLevel="0" collapsed="false">
      <c r="A24" s="29"/>
      <c r="B24" s="30"/>
      <c r="C24" s="30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3"/>
    </row>
    <row r="25" customFormat="false" ht="12.75" hidden="false" customHeight="false" outlineLevel="0" collapsed="false">
      <c r="A25" s="35" t="s">
        <v>216</v>
      </c>
      <c r="B25" s="30"/>
      <c r="C25" s="30"/>
      <c r="D25" s="217" t="n">
        <f aca="false">D15+D21+D23</f>
        <v>80819.865</v>
      </c>
      <c r="E25" s="217" t="n">
        <f aca="false">E15+E21+E23</f>
        <v>137895.636</v>
      </c>
      <c r="F25" s="217" t="n">
        <f aca="false">F15+F21+F23</f>
        <v>138075.39312</v>
      </c>
      <c r="G25" s="217" t="n">
        <f aca="false">G15+G21+G23</f>
        <v>138588.2965824</v>
      </c>
      <c r="H25" s="217" t="n">
        <f aca="false">H15+H21+H23</f>
        <v>139517.571714048</v>
      </c>
      <c r="I25" s="217" t="n">
        <f aca="false">I15+I21+I23</f>
        <v>140322.293948329</v>
      </c>
      <c r="J25" s="217" t="n">
        <f aca="false">J15+J21+J23</f>
        <v>142209.158827296</v>
      </c>
      <c r="K25" s="217" t="n">
        <f aca="false">K15+K21+K23</f>
        <v>143555.382003841</v>
      </c>
      <c r="L25" s="217" t="n">
        <f aca="false">L15+L21+L23</f>
        <v>145193.169243918</v>
      </c>
      <c r="M25" s="217" t="n">
        <f aca="false">M15+M21+M23</f>
        <v>147039.306428797</v>
      </c>
      <c r="N25" s="217" t="n">
        <f aca="false">N15+N21+N23</f>
        <v>148844.139557373</v>
      </c>
      <c r="O25" s="217" t="n">
        <f aca="false">O15+O21+O23</f>
        <v>150441.23474852</v>
      </c>
      <c r="P25" s="217" t="n">
        <f aca="false">P15+P21+P23</f>
        <v>152746.01824349</v>
      </c>
      <c r="Q25" s="217" t="n">
        <f aca="false">Q15+Q21+Q23</f>
        <v>153844.43640836</v>
      </c>
      <c r="R25" s="217" t="n">
        <f aca="false">R15+R21+R23</f>
        <v>155608.945736527</v>
      </c>
      <c r="S25" s="217" t="e">
        <f aca="false">S15+S21+S23</f>
        <v>#VALUE!</v>
      </c>
      <c r="T25" s="217" t="n">
        <f aca="false">T15+T21+T23</f>
        <v>896.154508283152</v>
      </c>
      <c r="U25" s="217" t="n">
        <f aca="false">U15+U21+U23</f>
        <v>914.077598448815</v>
      </c>
      <c r="V25" s="217" t="n">
        <f aca="false">V15+V21+V23</f>
        <v>932.359150417791</v>
      </c>
      <c r="W25" s="217" t="n">
        <f aca="false">W15+W21+W23</f>
        <v>951.006333426147</v>
      </c>
      <c r="X25" s="217" t="n">
        <f aca="false">X15+X21+X23</f>
        <v>970.02646009467</v>
      </c>
      <c r="Y25" s="217" t="n">
        <f aca="false">Y15+Y21+Y23</f>
        <v>989.426989296563</v>
      </c>
      <c r="Z25" s="217" t="n">
        <f aca="false">Z15+Z21+Z23</f>
        <v>1009.21552908249</v>
      </c>
      <c r="AA25" s="217" t="n">
        <f aca="false">AA15+AA21+AA23</f>
        <v>1029.39983966414</v>
      </c>
      <c r="AB25" s="217" t="n">
        <f aca="false">AB15+AB21+AB23</f>
        <v>1049.98783645743</v>
      </c>
      <c r="AC25" s="217" t="n">
        <f aca="false">AC15+AC21+AC23</f>
        <v>0</v>
      </c>
      <c r="AD25" s="218" t="e">
        <f aca="false">AD15+AD21</f>
        <v>#VALUE!</v>
      </c>
    </row>
    <row r="26" customFormat="false" ht="12.75" hidden="false" customHeight="false" outlineLevel="0" collapsed="false">
      <c r="A26" s="29"/>
      <c r="B26" s="30"/>
      <c r="C26" s="30"/>
      <c r="D26" s="21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207"/>
    </row>
    <row r="27" customFormat="false" ht="12.75" hidden="false" customHeight="false" outlineLevel="0" collapsed="false">
      <c r="A27" s="220" t="s">
        <v>217</v>
      </c>
      <c r="B27" s="221"/>
      <c r="C27" s="222"/>
      <c r="D27" s="221" t="n">
        <f aca="false">D6</f>
        <v>2001</v>
      </c>
      <c r="E27" s="221" t="n">
        <f aca="false">E6</f>
        <v>2002</v>
      </c>
      <c r="F27" s="221" t="n">
        <f aca="false">F6</f>
        <v>2003</v>
      </c>
      <c r="G27" s="221" t="n">
        <f aca="false">G6</f>
        <v>2004</v>
      </c>
      <c r="H27" s="221" t="n">
        <f aca="false">H6</f>
        <v>2005</v>
      </c>
      <c r="I27" s="221" t="n">
        <f aca="false">I6</f>
        <v>2006</v>
      </c>
      <c r="J27" s="221" t="n">
        <f aca="false">J6</f>
        <v>2007</v>
      </c>
      <c r="K27" s="221" t="n">
        <f aca="false">K6</f>
        <v>2008</v>
      </c>
      <c r="L27" s="221" t="n">
        <f aca="false">L6</f>
        <v>2009</v>
      </c>
      <c r="M27" s="221" t="n">
        <f aca="false">M6</f>
        <v>2010</v>
      </c>
      <c r="N27" s="221" t="n">
        <f aca="false">N6</f>
        <v>2011</v>
      </c>
      <c r="O27" s="221" t="n">
        <f aca="false">O6</f>
        <v>2012</v>
      </c>
      <c r="P27" s="221" t="n">
        <f aca="false">P6</f>
        <v>2013</v>
      </c>
      <c r="Q27" s="221" t="n">
        <f aca="false">Q6</f>
        <v>2014</v>
      </c>
      <c r="R27" s="221" t="n">
        <f aca="false">R6</f>
        <v>2015</v>
      </c>
      <c r="S27" s="221" t="n">
        <f aca="false">S6</f>
        <v>2016</v>
      </c>
      <c r="T27" s="221" t="n">
        <f aca="false">T6</f>
        <v>2017</v>
      </c>
      <c r="U27" s="221" t="n">
        <f aca="false">U6</f>
        <v>2018</v>
      </c>
      <c r="V27" s="221" t="n">
        <f aca="false">V6</f>
        <v>2019</v>
      </c>
      <c r="W27" s="221" t="n">
        <f aca="false">W6</f>
        <v>2020</v>
      </c>
      <c r="X27" s="221" t="n">
        <f aca="false">X6</f>
        <v>2021</v>
      </c>
      <c r="Y27" s="221" t="n">
        <f aca="false">Y6</f>
        <v>2022</v>
      </c>
      <c r="Z27" s="221" t="n">
        <f aca="false">Z6</f>
        <v>2023</v>
      </c>
      <c r="AA27" s="221" t="n">
        <f aca="false">AA6</f>
        <v>2024</v>
      </c>
      <c r="AB27" s="221" t="n">
        <f aca="false">AB6</f>
        <v>2025</v>
      </c>
      <c r="AC27" s="221" t="n">
        <f aca="false">AC6</f>
        <v>2026</v>
      </c>
      <c r="AD27" s="223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</row>
    <row r="28" customFormat="false" ht="12.75" hidden="false" customHeight="false" outlineLevel="0" collapsed="false">
      <c r="A28" s="224" t="s">
        <v>218</v>
      </c>
      <c r="B28" s="225"/>
      <c r="C28" s="226"/>
      <c r="D28" s="227" t="n">
        <f aca="false">IF(D7=0,0,D15/D11*100)</f>
        <v>0</v>
      </c>
      <c r="E28" s="227" t="n">
        <f aca="false">IF(E7=0,0,E15/E11*100)</f>
        <v>0</v>
      </c>
      <c r="F28" s="227" t="n">
        <f aca="false">IF(F7=0,0,F15/F11*100)</f>
        <v>0</v>
      </c>
      <c r="G28" s="227" t="n">
        <f aca="false">IF(G7=0,0,G15/G11*100)</f>
        <v>0</v>
      </c>
      <c r="H28" s="227" t="n">
        <f aca="false">IF(H7=0,0,H15/H11*100)</f>
        <v>0</v>
      </c>
      <c r="I28" s="227" t="n">
        <f aca="false">IF(I7=0,0,I15/I11*100)</f>
        <v>0</v>
      </c>
      <c r="J28" s="227" t="n">
        <f aca="false">IF(J7=0,0,J15/J11*100)</f>
        <v>0</v>
      </c>
      <c r="K28" s="227" t="n">
        <f aca="false">IF(K7=0,0,K15/K11*100)</f>
        <v>0</v>
      </c>
      <c r="L28" s="227" t="n">
        <f aca="false">IF(L7=0,0,L15/L11*100)</f>
        <v>0</v>
      </c>
      <c r="M28" s="227" t="n">
        <f aca="false">IF(M7=0,0,M15/M11*100)</f>
        <v>0</v>
      </c>
      <c r="N28" s="227" t="n">
        <f aca="false">IF(N7=0,0,N15/N11*100)</f>
        <v>0</v>
      </c>
      <c r="O28" s="227" t="n">
        <f aca="false">IF(O7=0,0,O15/O11*100)</f>
        <v>0</v>
      </c>
      <c r="P28" s="227" t="n">
        <f aca="false">IF(P7=0,0,P15/P11*100)</f>
        <v>0</v>
      </c>
      <c r="Q28" s="227" t="n">
        <f aca="false">IF(Q7=0,0,Q15/Q11*100)</f>
        <v>0</v>
      </c>
      <c r="R28" s="227" t="n">
        <f aca="false">IF(R7=0,0,R15/R11*100)</f>
        <v>0</v>
      </c>
      <c r="S28" s="227" t="e">
        <f aca="false">IF(S7=0,0,S15/S11*100)</f>
        <v>#VALUE!</v>
      </c>
      <c r="T28" s="227" t="n">
        <f aca="false">IF(T7=0,0,T15/T11*100)</f>
        <v>0</v>
      </c>
      <c r="U28" s="227" t="n">
        <f aca="false">IF(U7=0,0,U15/U11*100)</f>
        <v>0</v>
      </c>
      <c r="V28" s="227" t="n">
        <f aca="false">IF(V7=0,0,V15/V11*100)</f>
        <v>0</v>
      </c>
      <c r="W28" s="227" t="n">
        <f aca="false">IF(W7=0,0,W15/W11*100)</f>
        <v>0</v>
      </c>
      <c r="X28" s="227" t="n">
        <f aca="false">IF(X7=0,0,X15/X11*100)</f>
        <v>0</v>
      </c>
      <c r="Y28" s="227" t="n">
        <f aca="false">IF(Y7=0,0,Y15/Y11*100)</f>
        <v>0</v>
      </c>
      <c r="Z28" s="227" t="n">
        <f aca="false">IF(Z7=0,0,Z15/Z11*100)</f>
        <v>0</v>
      </c>
      <c r="AA28" s="227" t="n">
        <f aca="false">IF(AA7=0,0,AA15/AA11*100)</f>
        <v>0</v>
      </c>
      <c r="AB28" s="227" t="n">
        <f aca="false">IF(AB7=0,0,AB15/AB11*100)</f>
        <v>0</v>
      </c>
      <c r="AC28" s="227" t="n">
        <f aca="false">IF(AC7=0,0,AC15/AC11*100)</f>
        <v>0</v>
      </c>
      <c r="AD28" s="228"/>
    </row>
    <row r="29" customFormat="false" ht="12.75" hidden="false" customHeight="false" outlineLevel="0" collapsed="false">
      <c r="A29" s="224" t="s">
        <v>213</v>
      </c>
      <c r="B29" s="225"/>
      <c r="C29" s="226"/>
      <c r="D29" s="227" t="n">
        <f aca="false">IF(D7=0,0,D18/D11*100)</f>
        <v>3.43266859423662</v>
      </c>
      <c r="E29" s="227" t="n">
        <f aca="false">IF(E7=0,0,E18/E11*100)</f>
        <v>3.41649722385331</v>
      </c>
      <c r="F29" s="227" t="n">
        <f aca="false">IF(F7=0,0,F18/F11*100)</f>
        <v>3.42095087967058</v>
      </c>
      <c r="G29" s="227" t="n">
        <f aca="false">IF(G7=0,0,G18/G11*100)</f>
        <v>3.43365855705781</v>
      </c>
      <c r="H29" s="227" t="n">
        <f aca="false">IF(H7=0,0,H18/H11*100)</f>
        <v>3.45668224366288</v>
      </c>
      <c r="I29" s="227" t="n">
        <f aca="false">IF(I7=0,0,I18/I11*100)</f>
        <v>3.47662001224748</v>
      </c>
      <c r="J29" s="227" t="n">
        <f aca="false">IF(J7=0,0,J18/J11*100)</f>
        <v>3.52336890733779</v>
      </c>
      <c r="K29" s="227" t="n">
        <f aca="false">IF(K7=0,0,K18/K11*100)</f>
        <v>3.55672288342269</v>
      </c>
      <c r="L29" s="227" t="n">
        <f aca="false">IF(L7=0,0,L18/L11*100)</f>
        <v>3.59730064006021</v>
      </c>
      <c r="M29" s="227" t="n">
        <f aca="false">IF(M7=0,0,M18/M11*100)</f>
        <v>3.64304046729441</v>
      </c>
      <c r="N29" s="227" t="n">
        <f aca="false">IF(N7=0,0,N18/N11*100)</f>
        <v>3.68775694674339</v>
      </c>
      <c r="O29" s="227" t="n">
        <f aca="false">IF(O7=0,0,O18/O11*100)</f>
        <v>3.72732651866795</v>
      </c>
      <c r="P29" s="227" t="n">
        <f aca="false">IF(P7=0,0,P18/P11*100)</f>
        <v>3.78442975007223</v>
      </c>
      <c r="Q29" s="227" t="n">
        <f aca="false">IF(Q7=0,0,Q18/Q11*100)</f>
        <v>3.81164411826955</v>
      </c>
      <c r="R29" s="227" t="n">
        <f aca="false">IF(R7=0,0,R18/R11*100)</f>
        <v>3.85536153671742</v>
      </c>
      <c r="S29" s="227" t="e">
        <f aca="false">IF(S7=0,0,S18/S11*100)</f>
        <v>#VALUE!</v>
      </c>
      <c r="T29" s="227" t="n">
        <f aca="false">IF(T7=0,0,T18/T11*100)</f>
        <v>0.0222030912544108</v>
      </c>
      <c r="U29" s="227" t="n">
        <f aca="false">IF(U7=0,0,U18/U11*100)</f>
        <v>0.022647153079499</v>
      </c>
      <c r="V29" s="227" t="n">
        <f aca="false">IF(V7=0,0,V18/V11*100)</f>
        <v>0.023100096141089</v>
      </c>
      <c r="W29" s="227" t="n">
        <f aca="false">IF(W7=0,0,W18/W11*100)</f>
        <v>0.0235620980639108</v>
      </c>
      <c r="X29" s="227" t="n">
        <f aca="false">IF(X7=0,0,X18/X11*100)</f>
        <v>0.024033340025189</v>
      </c>
      <c r="Y29" s="227" t="n">
        <f aca="false">IF(Y7=0,0,Y18/Y11*100)</f>
        <v>0.0245140068256928</v>
      </c>
      <c r="Z29" s="227" t="n">
        <f aca="false">IF(Z7=0,0,Z18/Z11*100)</f>
        <v>0.0250042869622066</v>
      </c>
      <c r="AA29" s="227" t="n">
        <f aca="false">IF(AA7=0,0,AA18/AA11*100)</f>
        <v>0.0255043727014508</v>
      </c>
      <c r="AB29" s="227" t="n">
        <f aca="false">IF(AB7=0,0,AB18/AB11*100)</f>
        <v>0.0260144601554798</v>
      </c>
      <c r="AC29" s="227" t="n">
        <f aca="false">IF(AC7=0,0,AC18/AC11*100)</f>
        <v>0</v>
      </c>
      <c r="AD29" s="228"/>
    </row>
    <row r="30" customFormat="false" ht="12.75" hidden="false" customHeight="false" outlineLevel="0" collapsed="false">
      <c r="A30" s="224" t="s">
        <v>219</v>
      </c>
      <c r="B30" s="225"/>
      <c r="C30" s="226"/>
      <c r="D30" s="227" t="n">
        <f aca="false">IF(D7=0,0,D19/D11*100)</f>
        <v>0</v>
      </c>
      <c r="E30" s="227" t="n">
        <f aca="false">IF(E7=0,0,E19/E11*100)</f>
        <v>0</v>
      </c>
      <c r="F30" s="227" t="n">
        <f aca="false">IF(F7=0,0,F19/F11*100)</f>
        <v>0</v>
      </c>
      <c r="G30" s="227" t="n">
        <f aca="false">IF(G7=0,0,G19/G11*100)</f>
        <v>0</v>
      </c>
      <c r="H30" s="227" t="n">
        <f aca="false">IF(H7=0,0,H19/H11*100)</f>
        <v>0</v>
      </c>
      <c r="I30" s="227" t="n">
        <f aca="false">IF(I7=0,0,I19/I11*100)</f>
        <v>0</v>
      </c>
      <c r="J30" s="227" t="n">
        <f aca="false">IF(J7=0,0,J19/J11*100)</f>
        <v>0</v>
      </c>
      <c r="K30" s="227" t="n">
        <f aca="false">IF(K7=0,0,K19/K11*100)</f>
        <v>0</v>
      </c>
      <c r="L30" s="227" t="n">
        <f aca="false">IF(L7=0,0,L19/L11*100)</f>
        <v>0</v>
      </c>
      <c r="M30" s="227" t="n">
        <f aca="false">IF(M7=0,0,M19/M11*100)</f>
        <v>0</v>
      </c>
      <c r="N30" s="227" t="n">
        <f aca="false">IF(N7=0,0,N19/N11*100)</f>
        <v>0</v>
      </c>
      <c r="O30" s="227" t="n">
        <f aca="false">IF(O7=0,0,O19/O11*100)</f>
        <v>0</v>
      </c>
      <c r="P30" s="227" t="n">
        <f aca="false">IF(P7=0,0,P19/P11*100)</f>
        <v>0</v>
      </c>
      <c r="Q30" s="227" t="n">
        <f aca="false">IF(Q7=0,0,Q19/Q11*100)</f>
        <v>0</v>
      </c>
      <c r="R30" s="227" t="n">
        <f aca="false">IF(R7=0,0,R19/R11*100)</f>
        <v>0</v>
      </c>
      <c r="S30" s="227" t="e">
        <f aca="false">IF(S7=0,0,S19/S11*100)</f>
        <v>#VALUE!</v>
      </c>
      <c r="T30" s="227" t="n">
        <f aca="false">IF(T7=0,0,T19/T11*100)</f>
        <v>0</v>
      </c>
      <c r="U30" s="227" t="n">
        <f aca="false">IF(U7=0,0,U19/U11*100)</f>
        <v>0</v>
      </c>
      <c r="V30" s="227" t="n">
        <f aca="false">IF(V7=0,0,V19/V11*100)</f>
        <v>0</v>
      </c>
      <c r="W30" s="227" t="n">
        <f aca="false">IF(W7=0,0,W19/W11*100)</f>
        <v>0</v>
      </c>
      <c r="X30" s="227" t="n">
        <f aca="false">IF(X7=0,0,X19/X11*100)</f>
        <v>0</v>
      </c>
      <c r="Y30" s="227" t="n">
        <f aca="false">IF(Y7=0,0,Y19/Y11*100)</f>
        <v>0</v>
      </c>
      <c r="Z30" s="227" t="n">
        <f aca="false">IF(Z7=0,0,Z19/Z11*100)</f>
        <v>0</v>
      </c>
      <c r="AA30" s="227" t="n">
        <f aca="false">IF(AA7=0,0,AA19/AA11*100)</f>
        <v>0</v>
      </c>
      <c r="AB30" s="227" t="n">
        <f aca="false">IF(AB7=0,0,AB19/AB11*100)</f>
        <v>0</v>
      </c>
      <c r="AC30" s="227" t="n">
        <f aca="false">IF(AC7=0,0,AC19/AC11*100)</f>
        <v>0</v>
      </c>
      <c r="AD30" s="228"/>
    </row>
    <row r="31" customFormat="false" ht="12.75" hidden="false" customHeight="false" outlineLevel="0" collapsed="false">
      <c r="A31" s="224" t="s">
        <v>117</v>
      </c>
      <c r="B31" s="225"/>
      <c r="C31" s="226"/>
      <c r="D31" s="227" t="n">
        <f aca="false">IF(D7=1,0,D20/D11*100)</f>
        <v>0</v>
      </c>
      <c r="E31" s="227" t="n">
        <f aca="false">IF(E7=1,0,E20/E11*100)</f>
        <v>0</v>
      </c>
      <c r="F31" s="227" t="n">
        <f aca="false">IF(F7=1,0,F20/F11*100)</f>
        <v>0</v>
      </c>
      <c r="G31" s="227" t="n">
        <f aca="false">IF(G7=1,0,G20/G11*100)</f>
        <v>0</v>
      </c>
      <c r="H31" s="227" t="n">
        <f aca="false">IF(H7=1,0,H20/H11*100)</f>
        <v>0</v>
      </c>
      <c r="I31" s="227" t="n">
        <f aca="false">IF(I7=1,0,I20/I11*100)</f>
        <v>0</v>
      </c>
      <c r="J31" s="227" t="n">
        <f aca="false">IF(J7=1,0,J20/J11*100)</f>
        <v>0</v>
      </c>
      <c r="K31" s="227" t="n">
        <f aca="false">IF(K7=1,0,K20/K11*100)</f>
        <v>0</v>
      </c>
      <c r="L31" s="227" t="n">
        <f aca="false">IF(L7=1,0,L20/L11*100)</f>
        <v>0</v>
      </c>
      <c r="M31" s="227" t="n">
        <f aca="false">IF(M7=1,0,M20/M11*100)</f>
        <v>0</v>
      </c>
      <c r="N31" s="227" t="n">
        <f aca="false">IF(N7=1,0,N20/N11*100)</f>
        <v>0</v>
      </c>
      <c r="O31" s="227" t="n">
        <f aca="false">IF(O7=1,0,O20/O11*100)</f>
        <v>0</v>
      </c>
      <c r="P31" s="227" t="n">
        <f aca="false">IF(P7=1,0,P20/P11*100)</f>
        <v>0</v>
      </c>
      <c r="Q31" s="227" t="n">
        <f aca="false">IF(Q7=1,0,Q20/Q11*100)</f>
        <v>0</v>
      </c>
      <c r="R31" s="227" t="n">
        <f aca="false">IF(R7=1,0,R20/R11*100)</f>
        <v>0</v>
      </c>
      <c r="S31" s="227" t="e">
        <f aca="false">IF(S7=1,0,S20/S11*100)</f>
        <v>#VALUE!</v>
      </c>
      <c r="T31" s="227" t="n">
        <f aca="false">IF(T7=1,0,T20/T11*100)</f>
        <v>0</v>
      </c>
      <c r="U31" s="227" t="n">
        <f aca="false">IF(U7=1,0,U20/U11*100)</f>
        <v>0</v>
      </c>
      <c r="V31" s="227" t="n">
        <f aca="false">IF(V7=1,0,V20/V11*100)</f>
        <v>0</v>
      </c>
      <c r="W31" s="227" t="n">
        <f aca="false">IF(W7=1,0,W20/W11*100)</f>
        <v>0</v>
      </c>
      <c r="X31" s="227" t="n">
        <f aca="false">IF(X7=1,0,X20/X11*100)</f>
        <v>0</v>
      </c>
      <c r="Y31" s="227" t="n">
        <f aca="false">IF(Y7=1,0,Y20/Y11*100)</f>
        <v>0</v>
      </c>
      <c r="Z31" s="227" t="n">
        <f aca="false">IF(Z7=1,0,Z20/Z11*100)</f>
        <v>0</v>
      </c>
      <c r="AA31" s="227" t="n">
        <f aca="false">IF(AA7=1,0,AA20/AA11*100)</f>
        <v>0</v>
      </c>
      <c r="AB31" s="227" t="n">
        <f aca="false">IF(AB7=1,0,AB20/AB11*100)</f>
        <v>0</v>
      </c>
      <c r="AC31" s="227" t="n">
        <f aca="false">IF(AC7=1,0,AC20/AC11*100)</f>
        <v>0</v>
      </c>
      <c r="AD31" s="228"/>
    </row>
    <row r="32" customFormat="false" ht="12.75" hidden="false" customHeight="false" outlineLevel="0" collapsed="false">
      <c r="A32" s="229" t="s">
        <v>220</v>
      </c>
      <c r="B32" s="230"/>
      <c r="C32" s="231"/>
      <c r="D32" s="232" t="n">
        <f aca="false">SUM(D28:D31)</f>
        <v>3.43266859423662</v>
      </c>
      <c r="E32" s="232" t="n">
        <f aca="false">SUM(E28:E31)</f>
        <v>3.41649722385331</v>
      </c>
      <c r="F32" s="232" t="n">
        <f aca="false">SUM(F28:F31)</f>
        <v>3.42095087967058</v>
      </c>
      <c r="G32" s="232" t="n">
        <f aca="false">SUM(G28:G31)</f>
        <v>3.43365855705781</v>
      </c>
      <c r="H32" s="232" t="n">
        <f aca="false">SUM(H28:H31)</f>
        <v>3.45668224366288</v>
      </c>
      <c r="I32" s="232" t="n">
        <f aca="false">SUM(I28:I31)</f>
        <v>3.47662001224748</v>
      </c>
      <c r="J32" s="232" t="n">
        <f aca="false">SUM(J28:J31)</f>
        <v>3.52336890733779</v>
      </c>
      <c r="K32" s="232" t="n">
        <f aca="false">SUM(K28:K31)</f>
        <v>3.55672288342269</v>
      </c>
      <c r="L32" s="232" t="n">
        <f aca="false">SUM(L28:L31)</f>
        <v>3.59730064006021</v>
      </c>
      <c r="M32" s="232" t="n">
        <f aca="false">SUM(M28:M31)</f>
        <v>3.64304046729441</v>
      </c>
      <c r="N32" s="232" t="n">
        <f aca="false">SUM(N28:N31)</f>
        <v>3.68775694674339</v>
      </c>
      <c r="O32" s="232" t="n">
        <f aca="false">SUM(O28:O31)</f>
        <v>3.72732651866795</v>
      </c>
      <c r="P32" s="232" t="n">
        <f aca="false">SUM(P28:P31)</f>
        <v>3.78442975007223</v>
      </c>
      <c r="Q32" s="232" t="n">
        <f aca="false">SUM(Q28:Q31)</f>
        <v>3.81164411826955</v>
      </c>
      <c r="R32" s="232" t="n">
        <f aca="false">SUM(R28:R31)</f>
        <v>3.85536153671742</v>
      </c>
      <c r="S32" s="232" t="e">
        <f aca="false">SUM(S28:S31)</f>
        <v>#VALUE!</v>
      </c>
      <c r="T32" s="232" t="n">
        <f aca="false">SUM(T28:T31)</f>
        <v>0.0222030912544108</v>
      </c>
      <c r="U32" s="232" t="n">
        <f aca="false">SUM(U28:U31)</f>
        <v>0.022647153079499</v>
      </c>
      <c r="V32" s="232" t="n">
        <f aca="false">SUM(V28:V31)</f>
        <v>0.023100096141089</v>
      </c>
      <c r="W32" s="232" t="n">
        <f aca="false">SUM(W28:W31)</f>
        <v>0.0235620980639108</v>
      </c>
      <c r="X32" s="232" t="n">
        <f aca="false">SUM(X28:X31)</f>
        <v>0.024033340025189</v>
      </c>
      <c r="Y32" s="232" t="n">
        <f aca="false">SUM(Y28:Y31)</f>
        <v>0.0245140068256928</v>
      </c>
      <c r="Z32" s="232" t="n">
        <f aca="false">SUM(Z28:Z31)</f>
        <v>0.0250042869622066</v>
      </c>
      <c r="AA32" s="232" t="n">
        <f aca="false">SUM(AA28:AA31)</f>
        <v>0.0255043727014508</v>
      </c>
      <c r="AB32" s="232" t="n">
        <f aca="false">SUM(AB28:AB31)</f>
        <v>0.0260144601554798</v>
      </c>
      <c r="AC32" s="232" t="n">
        <f aca="false">SUM(AC28:AC31)</f>
        <v>0</v>
      </c>
      <c r="AD32" s="228"/>
    </row>
    <row r="33" customFormat="false" ht="12.75" hidden="false" customHeight="false" outlineLevel="0" collapsed="false">
      <c r="A33" s="29"/>
      <c r="B33" s="30"/>
      <c r="C33" s="30"/>
      <c r="D33" s="30"/>
      <c r="E33" s="233" t="n">
        <f aca="false">(E32-D32)/D32</f>
        <v>-0.00471101999489851</v>
      </c>
      <c r="F33" s="233" t="n">
        <f aca="false">(F32-E32)/E32</f>
        <v>0.00130357366784254</v>
      </c>
      <c r="G33" s="233" t="n">
        <f aca="false">(G32-F32)/F32</f>
        <v>0.00371466233635317</v>
      </c>
      <c r="H33" s="233" t="n">
        <f aca="false">(H32-G32)/G32</f>
        <v>0.00670529297613123</v>
      </c>
      <c r="I33" s="233" t="n">
        <f aca="false">(I32-H32)/H32</f>
        <v>0.0057678916311008</v>
      </c>
      <c r="J33" s="233" t="n">
        <f aca="false">(J32-I32)/I32</f>
        <v>0.0134466507486073</v>
      </c>
      <c r="K33" s="233" t="n">
        <f aca="false">(K32-J32)/J32</f>
        <v>0.00946650122711714</v>
      </c>
      <c r="L33" s="233" t="n">
        <f aca="false">(L32-K32)/K32</f>
        <v>0.0114087484371225</v>
      </c>
      <c r="M33" s="233" t="n">
        <f aca="false">(M32-L32)/L32</f>
        <v>0.0127150415855785</v>
      </c>
      <c r="N33" s="233" t="n">
        <f aca="false">(N32-M32)/M32</f>
        <v>0.0122744942995902</v>
      </c>
      <c r="O33" s="233" t="n">
        <f aca="false">(O32-N32)/N32</f>
        <v>0.0107299836990346</v>
      </c>
      <c r="P33" s="233" t="n">
        <f aca="false">(P32-O32)/O32</f>
        <v>0.0153201580592123</v>
      </c>
      <c r="Q33" s="233" t="n">
        <f aca="false">(Q32-P32)/P32</f>
        <v>0.00719114106869124</v>
      </c>
      <c r="R33" s="233" t="n">
        <f aca="false">(R32-Q32)/Q32</f>
        <v>0.0114694386703952</v>
      </c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207"/>
    </row>
    <row r="34" customFormat="false" ht="12.75" hidden="false" customHeight="false" outlineLevel="0" collapsed="false">
      <c r="A34" s="29" t="s">
        <v>221</v>
      </c>
      <c r="B34" s="30"/>
      <c r="C34" s="30"/>
      <c r="D34" s="219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207"/>
    </row>
    <row r="35" customFormat="false" ht="12.75" hidden="false" customHeight="false" outlineLevel="0" collapsed="false">
      <c r="A35" s="29" t="s">
        <v>222</v>
      </c>
      <c r="B35" s="30"/>
      <c r="C35" s="30"/>
      <c r="D35" s="235" t="n">
        <v>4.088</v>
      </c>
      <c r="E35" s="236" t="n">
        <v>4.159</v>
      </c>
      <c r="F35" s="236" t="n">
        <v>4.226</v>
      </c>
      <c r="G35" s="236" t="n">
        <v>4.296</v>
      </c>
      <c r="H35" s="236" t="n">
        <v>4.369</v>
      </c>
      <c r="I35" s="236" t="n">
        <v>4.445</v>
      </c>
      <c r="J35" s="236" t="n">
        <v>4.525</v>
      </c>
      <c r="K35" s="236" t="n">
        <v>4.609</v>
      </c>
      <c r="L35" s="236" t="n">
        <v>4.696</v>
      </c>
      <c r="M35" s="236" t="n">
        <v>4.788</v>
      </c>
      <c r="N35" s="236" t="n">
        <v>4.883</v>
      </c>
      <c r="O35" s="236" t="n">
        <v>4.983</v>
      </c>
      <c r="P35" s="236" t="n">
        <v>5.088</v>
      </c>
      <c r="Q35" s="236" t="n">
        <v>5.197</v>
      </c>
      <c r="R35" s="236" t="n">
        <v>5.312</v>
      </c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207"/>
    </row>
    <row r="36" customFormat="false" ht="12.75" hidden="false" customHeight="false" outlineLevel="0" collapsed="false">
      <c r="A36" s="57" t="s">
        <v>223</v>
      </c>
      <c r="B36" s="58"/>
      <c r="C36" s="58"/>
      <c r="D36" s="237" t="n">
        <f aca="false">D32</f>
        <v>3.43266859423662</v>
      </c>
      <c r="E36" s="238" t="n">
        <f aca="false">E32</f>
        <v>3.41649722385331</v>
      </c>
      <c r="F36" s="238" t="n">
        <f aca="false">F32</f>
        <v>3.42095087967058</v>
      </c>
      <c r="G36" s="238" t="n">
        <f aca="false">G32</f>
        <v>3.43365855705781</v>
      </c>
      <c r="H36" s="238" t="n">
        <f aca="false">H32</f>
        <v>3.45668224366288</v>
      </c>
      <c r="I36" s="238" t="n">
        <f aca="false">I32</f>
        <v>3.47662001224748</v>
      </c>
      <c r="J36" s="238" t="n">
        <f aca="false">J32</f>
        <v>3.52336890733779</v>
      </c>
      <c r="K36" s="238" t="n">
        <f aca="false">K32</f>
        <v>3.55672288342269</v>
      </c>
      <c r="L36" s="238" t="n">
        <f aca="false">L32</f>
        <v>3.59730064006021</v>
      </c>
      <c r="M36" s="238" t="n">
        <f aca="false">M32</f>
        <v>3.64304046729441</v>
      </c>
      <c r="N36" s="238" t="n">
        <f aca="false">N32</f>
        <v>3.68775694674339</v>
      </c>
      <c r="O36" s="238" t="n">
        <f aca="false">O32</f>
        <v>3.72732651866795</v>
      </c>
      <c r="P36" s="238" t="n">
        <f aca="false">P32</f>
        <v>3.78442975007223</v>
      </c>
      <c r="Q36" s="238" t="n">
        <f aca="false">Q32</f>
        <v>3.81164411826955</v>
      </c>
      <c r="R36" s="238" t="n">
        <f aca="false">R32</f>
        <v>3.85536153671742</v>
      </c>
      <c r="S36" s="237" t="e">
        <f aca="false">S32</f>
        <v>#VALUE!</v>
      </c>
      <c r="T36" s="237" t="n">
        <f aca="false">T32</f>
        <v>0.0222030912544108</v>
      </c>
      <c r="U36" s="237" t="n">
        <f aca="false">U32</f>
        <v>0.022647153079499</v>
      </c>
      <c r="V36" s="237" t="n">
        <f aca="false">V32</f>
        <v>0.023100096141089</v>
      </c>
      <c r="W36" s="237" t="n">
        <f aca="false">W32</f>
        <v>0.0235620980639108</v>
      </c>
      <c r="X36" s="237" t="n">
        <f aca="false">X32</f>
        <v>0.024033340025189</v>
      </c>
      <c r="Y36" s="237" t="n">
        <f aca="false">Y32</f>
        <v>0.0245140068256928</v>
      </c>
      <c r="Z36" s="237" t="n">
        <f aca="false">Z32</f>
        <v>0.0250042869622066</v>
      </c>
      <c r="AA36" s="237" t="n">
        <f aca="false">AA32</f>
        <v>0.0255043727014508</v>
      </c>
      <c r="AB36" s="237" t="n">
        <f aca="false">AB32</f>
        <v>0.0260144601554798</v>
      </c>
      <c r="AC36" s="239" t="n">
        <f aca="false">AC32</f>
        <v>0</v>
      </c>
      <c r="AD36" s="207"/>
    </row>
    <row r="37" customFormat="false" ht="12.75" hidden="false" customHeight="false" outlineLevel="0" collapsed="false">
      <c r="A37" s="29" t="s">
        <v>224</v>
      </c>
      <c r="C37" s="30"/>
      <c r="D37" s="235" t="n">
        <f aca="false">IF(D7=0,0,D35-D36)</f>
        <v>0.655331405763385</v>
      </c>
      <c r="E37" s="235" t="n">
        <f aca="false">IF(E7=0,0,E35-E36)</f>
        <v>0.742502776146694</v>
      </c>
      <c r="F37" s="235" t="n">
        <f aca="false">IF(F7=0,0,F35-F36)</f>
        <v>0.805049120329421</v>
      </c>
      <c r="G37" s="235" t="n">
        <f aca="false">IF(G7=0,0,G35-G36)</f>
        <v>0.862341442942195</v>
      </c>
      <c r="H37" s="235" t="n">
        <f aca="false">IF(H7=0,0,H35-H36)</f>
        <v>0.912317756337122</v>
      </c>
      <c r="I37" s="235" t="n">
        <f aca="false">IF(I7=0,0,I35-I36)</f>
        <v>0.968379987752525</v>
      </c>
      <c r="J37" s="235" t="n">
        <f aca="false">IF(J7=0,0,J35-J36)</f>
        <v>1.00163109266221</v>
      </c>
      <c r="K37" s="235" t="n">
        <f aca="false">IF(K7=0,0,K35-K36)</f>
        <v>1.05227711657731</v>
      </c>
      <c r="L37" s="235" t="n">
        <f aca="false">IF(L7=0,0,L35-L36)</f>
        <v>1.09869935993979</v>
      </c>
      <c r="M37" s="235" t="n">
        <f aca="false">IF(M7=0,0,M35-M36)</f>
        <v>1.14495953270559</v>
      </c>
      <c r="N37" s="235" t="n">
        <f aca="false">IF(N7=0,0,N35-N36)</f>
        <v>1.19524305325661</v>
      </c>
      <c r="O37" s="235" t="n">
        <f aca="false">IF(O7=0,0,O35-O36)</f>
        <v>1.25567348133205</v>
      </c>
      <c r="P37" s="235" t="n">
        <f aca="false">IF(P7=0,0,P35-P36)</f>
        <v>1.30357024992777</v>
      </c>
      <c r="Q37" s="235" t="n">
        <f aca="false">IF(Q7=0,0,Q35-Q36)</f>
        <v>1.38535588173045</v>
      </c>
      <c r="R37" s="235" t="n">
        <f aca="false">IF(R7=0,0,R35-R36)</f>
        <v>1.45663846328258</v>
      </c>
      <c r="S37" s="235" t="e">
        <f aca="false">IF(S7=0,0,S35-S36)</f>
        <v>#VALUE!</v>
      </c>
      <c r="T37" s="235" t="n">
        <f aca="false">IF(T7=0,0,T35-T36)</f>
        <v>-0.0222030912544108</v>
      </c>
      <c r="U37" s="235" t="n">
        <f aca="false">IF(U7=0,0,U35-U36)</f>
        <v>-0.022647153079499</v>
      </c>
      <c r="V37" s="235" t="n">
        <f aca="false">IF(V7=0,0,V35-V36)</f>
        <v>-0.023100096141089</v>
      </c>
      <c r="W37" s="235" t="n">
        <f aca="false">IF(W7=0,0,W35-W36)</f>
        <v>-0.0235620980639108</v>
      </c>
      <c r="X37" s="235" t="n">
        <f aca="false">IF(X7=0,0,X35-X36)</f>
        <v>-0.024033340025189</v>
      </c>
      <c r="Y37" s="235" t="n">
        <f aca="false">IF(Y7=0,0,Y35-Y36)</f>
        <v>-0.0245140068256928</v>
      </c>
      <c r="Z37" s="235" t="n">
        <f aca="false">IF(Z7=0,0,Z35-Z36)</f>
        <v>-0.0250042869622066</v>
      </c>
      <c r="AA37" s="235" t="n">
        <f aca="false">IF(AA7=0,0,AA35-AA36)</f>
        <v>-0.0255043727014508</v>
      </c>
      <c r="AB37" s="235" t="n">
        <f aca="false">IF(AB7=0,0,AB35-AB36)</f>
        <v>-0.0260144601554798</v>
      </c>
      <c r="AC37" s="235" t="n">
        <f aca="false">IF(AC7=0,0,AC35-AC36)</f>
        <v>0</v>
      </c>
      <c r="AD37" s="207"/>
    </row>
    <row r="38" customFormat="false" ht="19.5" hidden="false" customHeight="false" outlineLevel="0" collapsed="false">
      <c r="A38" s="29" t="s">
        <v>225</v>
      </c>
      <c r="B38" s="240" t="n">
        <f aca="false">NPV(0.1,D37:R37)</f>
        <v>7.33874553282574</v>
      </c>
      <c r="C38" s="241" t="str">
        <f aca="false">IF(B38&lt;0,"     New Plant has better Pricing","     Upgrade has better pricing")</f>
        <v>     Upgrade has better pricing</v>
      </c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07"/>
    </row>
    <row r="39" customFormat="false" ht="12.75" hidden="false" customHeight="false" outlineLevel="0" collapsed="false">
      <c r="A39" s="29"/>
      <c r="B39" s="30"/>
      <c r="C39" s="30"/>
      <c r="D39" s="219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207"/>
    </row>
    <row r="40" customFormat="false" ht="12.75" hidden="false" customHeight="false" outlineLevel="0" collapsed="false">
      <c r="A40" s="35" t="s">
        <v>226</v>
      </c>
      <c r="B40" s="30"/>
      <c r="C40" s="30"/>
      <c r="D40" s="234"/>
      <c r="E40" s="242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207"/>
    </row>
    <row r="41" customFormat="false" ht="12.75" hidden="false" customHeight="false" outlineLevel="0" collapsed="false">
      <c r="A41" s="101" t="s">
        <v>227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207"/>
    </row>
    <row r="42" customFormat="false" ht="12.75" hidden="false" customHeight="false" outlineLevel="0" collapsed="false">
      <c r="A42" s="29" t="s">
        <v>228</v>
      </c>
      <c r="B42" s="30"/>
      <c r="C42" s="30"/>
      <c r="D42" s="243" t="n">
        <v>33.14</v>
      </c>
      <c r="E42" s="243" t="n">
        <v>32.98</v>
      </c>
      <c r="F42" s="243" t="n">
        <v>33.02</v>
      </c>
      <c r="G42" s="243" t="n">
        <v>33.14</v>
      </c>
      <c r="H42" s="243" t="n">
        <v>33.36</v>
      </c>
      <c r="I42" s="243" t="n">
        <v>33.55</v>
      </c>
      <c r="J42" s="243" t="n">
        <v>34</v>
      </c>
      <c r="K42" s="243" t="n">
        <v>34.32</v>
      </c>
      <c r="L42" s="243" t="n">
        <v>34.71</v>
      </c>
      <c r="M42" s="243" t="n">
        <v>35.15</v>
      </c>
      <c r="N42" s="243" t="n">
        <v>35.58</v>
      </c>
      <c r="O42" s="243" t="n">
        <v>35.96</v>
      </c>
      <c r="P42" s="243" t="n">
        <v>36.51</v>
      </c>
      <c r="Q42" s="243" t="n">
        <v>36.77</v>
      </c>
      <c r="R42" s="243" t="n">
        <v>37.19</v>
      </c>
      <c r="S42" s="243" t="n">
        <v>0</v>
      </c>
      <c r="T42" s="243" t="n">
        <v>0</v>
      </c>
      <c r="U42" s="243" t="n">
        <v>0</v>
      </c>
      <c r="V42" s="243" t="n">
        <v>0</v>
      </c>
      <c r="W42" s="243" t="n">
        <v>0</v>
      </c>
      <c r="X42" s="243" t="n">
        <v>0</v>
      </c>
      <c r="Y42" s="243" t="n">
        <v>0</v>
      </c>
      <c r="Z42" s="243" t="n">
        <v>0</v>
      </c>
      <c r="AA42" s="243" t="n">
        <v>0</v>
      </c>
      <c r="AB42" s="243" t="n">
        <v>0</v>
      </c>
      <c r="AC42" s="243" t="n">
        <v>0</v>
      </c>
      <c r="AD42" s="213" t="n">
        <f aca="false">SUM(D42:AC42)</f>
        <v>519.38</v>
      </c>
    </row>
    <row r="43" customFormat="false" ht="12.75" hidden="false" customHeight="false" outlineLevel="0" collapsed="false">
      <c r="A43" s="29" t="s">
        <v>229</v>
      </c>
      <c r="B43" s="30"/>
      <c r="C43" s="30"/>
      <c r="D43" s="215" t="n">
        <f aca="false">((ASS!D35*8760*ASS!D36*ASS!D37)/(1-(ASS!D39-ASS!D38)))-(ASS!D35*8760*ASS!D36*ASS!D37)</f>
        <v>0</v>
      </c>
      <c r="E43" s="215" t="n">
        <f aca="false">D43</f>
        <v>0</v>
      </c>
      <c r="F43" s="215" t="n">
        <f aca="false">E43</f>
        <v>0</v>
      </c>
      <c r="G43" s="215" t="n">
        <f aca="false">F43</f>
        <v>0</v>
      </c>
      <c r="H43" s="215" t="n">
        <f aca="false">G43</f>
        <v>0</v>
      </c>
      <c r="I43" s="215" t="n">
        <f aca="false">H43</f>
        <v>0</v>
      </c>
      <c r="J43" s="215" t="n">
        <f aca="false">I43</f>
        <v>0</v>
      </c>
      <c r="K43" s="215" t="n">
        <f aca="false">J43</f>
        <v>0</v>
      </c>
      <c r="L43" s="215" t="n">
        <f aca="false">K43</f>
        <v>0</v>
      </c>
      <c r="M43" s="215" t="n">
        <f aca="false">L43</f>
        <v>0</v>
      </c>
      <c r="N43" s="215" t="n">
        <f aca="false">M43</f>
        <v>0</v>
      </c>
      <c r="O43" s="215" t="n">
        <f aca="false">N43</f>
        <v>0</v>
      </c>
      <c r="P43" s="215" t="n">
        <f aca="false">O43</f>
        <v>0</v>
      </c>
      <c r="Q43" s="215" t="n">
        <f aca="false">P43</f>
        <v>0</v>
      </c>
      <c r="R43" s="215" t="n">
        <f aca="false">Q43</f>
        <v>0</v>
      </c>
      <c r="S43" s="215" t="n">
        <f aca="false">R43</f>
        <v>0</v>
      </c>
      <c r="T43" s="215" t="n">
        <f aca="false">S43</f>
        <v>0</v>
      </c>
      <c r="U43" s="215" t="n">
        <f aca="false">T43</f>
        <v>0</v>
      </c>
      <c r="V43" s="215" t="n">
        <f aca="false">U43</f>
        <v>0</v>
      </c>
      <c r="W43" s="215" t="n">
        <f aca="false">V43</f>
        <v>0</v>
      </c>
      <c r="X43" s="215" t="n">
        <f aca="false">W43</f>
        <v>0</v>
      </c>
      <c r="Y43" s="215" t="n">
        <f aca="false">X43</f>
        <v>0</v>
      </c>
      <c r="Z43" s="215" t="n">
        <f aca="false">Y43</f>
        <v>0</v>
      </c>
      <c r="AA43" s="215" t="n">
        <f aca="false">Z43</f>
        <v>0</v>
      </c>
      <c r="AB43" s="215" t="n">
        <f aca="false">AA43</f>
        <v>0</v>
      </c>
      <c r="AC43" s="215" t="n">
        <f aca="false">AB43</f>
        <v>0</v>
      </c>
      <c r="AD43" s="216" t="n">
        <f aca="false">SUM(D43:AC43)</f>
        <v>0</v>
      </c>
    </row>
    <row r="44" customFormat="false" ht="12.75" hidden="false" customHeight="false" outlineLevel="0" collapsed="false">
      <c r="A44" s="29" t="s">
        <v>219</v>
      </c>
      <c r="B44" s="30"/>
      <c r="C44" s="30"/>
      <c r="D44" s="212" t="n">
        <f aca="false">D42*D43/1000*D7/12</f>
        <v>0</v>
      </c>
      <c r="E44" s="212" t="n">
        <f aca="false">E42*E43/1000*E7/12</f>
        <v>0</v>
      </c>
      <c r="F44" s="212" t="n">
        <f aca="false">F42*F43/1000*F7/12</f>
        <v>0</v>
      </c>
      <c r="G44" s="212" t="n">
        <f aca="false">G42*G43/1000*G7/12</f>
        <v>0</v>
      </c>
      <c r="H44" s="212" t="n">
        <f aca="false">H42*H43/1000*H7/12</f>
        <v>0</v>
      </c>
      <c r="I44" s="212" t="n">
        <f aca="false">I42*I43/1000*I7/12</f>
        <v>0</v>
      </c>
      <c r="J44" s="212" t="n">
        <f aca="false">J42*J43/1000*J7/12</f>
        <v>0</v>
      </c>
      <c r="K44" s="212" t="n">
        <f aca="false">K42*K43/1000*K7/12</f>
        <v>0</v>
      </c>
      <c r="L44" s="212" t="n">
        <f aca="false">L42*L43/1000*L7/12</f>
        <v>0</v>
      </c>
      <c r="M44" s="212" t="n">
        <f aca="false">M42*M43/1000*M7/12</f>
        <v>0</v>
      </c>
      <c r="N44" s="212" t="n">
        <f aca="false">N42*N43/1000*N7/12</f>
        <v>0</v>
      </c>
      <c r="O44" s="212" t="n">
        <f aca="false">O42*O43/1000*O7/12</f>
        <v>0</v>
      </c>
      <c r="P44" s="212" t="n">
        <f aca="false">P42*P43/1000*P7/12</f>
        <v>0</v>
      </c>
      <c r="Q44" s="212" t="n">
        <f aca="false">Q42*Q43/1000*Q7/12</f>
        <v>0</v>
      </c>
      <c r="R44" s="212" t="n">
        <f aca="false">R42*R43/1000*R7/12</f>
        <v>0</v>
      </c>
      <c r="S44" s="212" t="n">
        <f aca="false">S42*S43/1000*S7/12</f>
        <v>0</v>
      </c>
      <c r="T44" s="212" t="n">
        <f aca="false">T42*T43/1000*T7/12</f>
        <v>0</v>
      </c>
      <c r="U44" s="212" t="n">
        <f aca="false">U42*U43/1000*U7/12</f>
        <v>0</v>
      </c>
      <c r="V44" s="212" t="n">
        <f aca="false">V42*V43/1000*V7/12</f>
        <v>0</v>
      </c>
      <c r="W44" s="212" t="n">
        <f aca="false">W42*W43/1000*W7/12</f>
        <v>0</v>
      </c>
      <c r="X44" s="212" t="n">
        <f aca="false">X42*X43/1000*X7/12</f>
        <v>0</v>
      </c>
      <c r="Y44" s="212" t="n">
        <f aca="false">Y42*Y43/1000*Y7/12</f>
        <v>0</v>
      </c>
      <c r="Z44" s="212" t="n">
        <f aca="false">Z42*Z43/1000*Z7/12</f>
        <v>0</v>
      </c>
      <c r="AA44" s="212" t="n">
        <f aca="false">AA42*AA43/1000*AA7/12</f>
        <v>0</v>
      </c>
      <c r="AB44" s="212" t="n">
        <f aca="false">AB42*AB43/1000*AB7/12</f>
        <v>0</v>
      </c>
      <c r="AC44" s="212" t="n">
        <f aca="false">AC42*AC43/1000*AC7/12</f>
        <v>0</v>
      </c>
      <c r="AD44" s="213" t="n">
        <f aca="false">AD42*AD43</f>
        <v>0</v>
      </c>
    </row>
    <row r="45" customFormat="false" ht="12.75" hidden="false" customHeight="false" outlineLevel="0" collapsed="false">
      <c r="A45" s="29"/>
      <c r="B45" s="30"/>
      <c r="C45" s="30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3"/>
    </row>
    <row r="46" customFormat="false" ht="12.75" hidden="false" customHeight="false" outlineLevel="0" collapsed="false">
      <c r="A46" s="101" t="s">
        <v>230</v>
      </c>
      <c r="B46" s="30"/>
      <c r="C46" s="30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3"/>
    </row>
    <row r="47" customFormat="false" ht="12.75" hidden="false" customHeight="false" outlineLevel="0" collapsed="false">
      <c r="A47" s="101" t="s">
        <v>231</v>
      </c>
      <c r="B47" s="30"/>
      <c r="C47" s="30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3"/>
    </row>
    <row r="48" customFormat="false" ht="12.75" hidden="false" customHeight="false" outlineLevel="0" collapsed="false">
      <c r="A48" s="29" t="str">
        <f aca="false">ASS!A44</f>
        <v>Miscellaneous O&amp;M</v>
      </c>
      <c r="B48" s="30"/>
      <c r="C48" s="30"/>
      <c r="D48" s="212" t="n">
        <f aca="false">ASS!$C$44*(1+ASS!$E$44)^(D6-ASS!$C$43)*D7/12</f>
        <v>0</v>
      </c>
      <c r="E48" s="212" t="n">
        <f aca="false">ASS!$C$44*(1+ASS!$E$44)^(E6-ASS!$C$43)*E7/12</f>
        <v>0</v>
      </c>
      <c r="F48" s="212" t="n">
        <f aca="false">ASS!$C$44*(1+ASS!$E$44)^(F6-ASS!$C$43)*F7/12</f>
        <v>0</v>
      </c>
      <c r="G48" s="212" t="n">
        <f aca="false">ASS!$C$44*(1+ASS!$E$44)^(G6-ASS!$C$43)*G7/12</f>
        <v>0</v>
      </c>
      <c r="H48" s="212" t="n">
        <f aca="false">ASS!$C$44*(1+ASS!$E$44)^(H6-ASS!$C$43)*H7/12</f>
        <v>0</v>
      </c>
      <c r="I48" s="212" t="n">
        <f aca="false">ASS!$C$44*(1+ASS!$E$44)^(I6-ASS!$C$43)*I7/12</f>
        <v>0</v>
      </c>
      <c r="J48" s="212" t="n">
        <f aca="false">ASS!$C$44*(1+ASS!$E$44)^(J6-ASS!$C$43)*J7/12</f>
        <v>0</v>
      </c>
      <c r="K48" s="212" t="n">
        <f aca="false">ASS!$C$44*(1+ASS!$E$44)^(K6-ASS!$C$43)*K7/12</f>
        <v>0</v>
      </c>
      <c r="L48" s="212" t="n">
        <f aca="false">ASS!$C$44*(1+ASS!$E$44)^(L6-ASS!$C$43)*L7/12</f>
        <v>0</v>
      </c>
      <c r="M48" s="212" t="n">
        <f aca="false">ASS!$C$44*(1+ASS!$E$44)^(M6-ASS!$C$43)*M7/12</f>
        <v>0</v>
      </c>
      <c r="N48" s="212" t="n">
        <f aca="false">ASS!$C$44*(1+ASS!$E$44)^(N6-ASS!$C$43)*N7/12</f>
        <v>0</v>
      </c>
      <c r="O48" s="212" t="n">
        <f aca="false">ASS!$C$44*(1+ASS!$E$44)^(O6-ASS!$C$43)*O7/12</f>
        <v>0</v>
      </c>
      <c r="P48" s="212" t="n">
        <f aca="false">ASS!$C$44*(1+ASS!$E$44)^(P6-ASS!$C$43)*P7/12</f>
        <v>0</v>
      </c>
      <c r="Q48" s="212" t="n">
        <f aca="false">ASS!$C$44*(1+ASS!$E$44)^(Q6-ASS!$C$43)*Q7/12</f>
        <v>0</v>
      </c>
      <c r="R48" s="212" t="n">
        <f aca="false">ASS!$C$44*(1+ASS!$E$44)^(R6-ASS!$C$43)*R7/12</f>
        <v>0</v>
      </c>
      <c r="S48" s="212" t="n">
        <f aca="false">ASS!$C$44*(1+ASS!$E$44)^(S6-ASS!$C$43)*S7/12</f>
        <v>0</v>
      </c>
      <c r="T48" s="212" t="n">
        <f aca="false">ASS!$C$44*(1+ASS!$E$44)^(T6-ASS!$C$43)*T7/12</f>
        <v>0</v>
      </c>
      <c r="U48" s="212" t="n">
        <f aca="false">ASS!$C$44*(1+ASS!$E$44)^(U6-ASS!$C$43)*U7/12</f>
        <v>0</v>
      </c>
      <c r="V48" s="212" t="n">
        <f aca="false">ASS!$C$44*(1+ASS!$E$44)^(V6-ASS!$C$43)*V7/12</f>
        <v>0</v>
      </c>
      <c r="W48" s="212" t="n">
        <f aca="false">ASS!$C$44*(1+ASS!$E$44)^(W6-ASS!$C$43)*W7/12</f>
        <v>0</v>
      </c>
      <c r="X48" s="212" t="n">
        <f aca="false">ASS!$C$44*(1+ASS!$E$44)^(X6-ASS!$C$43)*X7/12</f>
        <v>0</v>
      </c>
      <c r="Y48" s="212" t="n">
        <f aca="false">ASS!$C$44*(1+ASS!$E$44)^(Y6-ASS!$C$43)*Y7/12</f>
        <v>0</v>
      </c>
      <c r="Z48" s="212" t="n">
        <f aca="false">ASS!$C$44*(1+ASS!$E$44)^(Z6-ASS!$C$43)*Z7/12</f>
        <v>0</v>
      </c>
      <c r="AA48" s="212" t="n">
        <f aca="false">ASS!$C$44*(1+ASS!$E$44)^(AA6-ASS!$C$43)*AA7/12</f>
        <v>0</v>
      </c>
      <c r="AB48" s="212" t="n">
        <f aca="false">ASS!$C$44*(1+ASS!$E$44)^(AB6-ASS!$C$43)*AB7/12</f>
        <v>0</v>
      </c>
      <c r="AC48" s="212" t="n">
        <f aca="false">ASS!$C$44*(1+ASS!$E$44)^(AC6-ASS!$C$43)*AC7/12</f>
        <v>0</v>
      </c>
      <c r="AD48" s="213" t="n">
        <f aca="false">SUM(D48:AC48)</f>
        <v>0</v>
      </c>
    </row>
    <row r="49" customFormat="false" ht="12.75" hidden="false" customHeight="false" outlineLevel="0" collapsed="false">
      <c r="A49" s="29" t="str">
        <f aca="false">ASS!A45</f>
        <v>Miscellaneous G&amp;A</v>
      </c>
      <c r="B49" s="30"/>
      <c r="C49" s="30"/>
      <c r="D49" s="212" t="n">
        <f aca="false">ASS!$C$45*(1+ASS!$E$45)^(D6-ASS!$C$43)*D7/12</f>
        <v>0</v>
      </c>
      <c r="E49" s="212" t="n">
        <f aca="false">ASS!$C$45*(1+ASS!$E$45)^(E6-ASS!$C$43)*E7/12</f>
        <v>0</v>
      </c>
      <c r="F49" s="212" t="n">
        <f aca="false">ASS!$C$45*(1+ASS!$E$45)^(F6-ASS!$C$43)*F7/12</f>
        <v>0</v>
      </c>
      <c r="G49" s="212" t="n">
        <f aca="false">ASS!$C$45*(1+ASS!$E$45)^(G6-ASS!$C$43)*G7/12</f>
        <v>0</v>
      </c>
      <c r="H49" s="212" t="n">
        <f aca="false">ASS!$C$45*(1+ASS!$E$45)^(H6-ASS!$C$43)*H7/12</f>
        <v>0</v>
      </c>
      <c r="I49" s="212" t="n">
        <f aca="false">ASS!$C$45*(1+ASS!$E$45)^(I6-ASS!$C$43)*I7/12</f>
        <v>0</v>
      </c>
      <c r="J49" s="212" t="n">
        <f aca="false">ASS!$C$45*(1+ASS!$E$45)^(J6-ASS!$C$43)*J7/12</f>
        <v>0</v>
      </c>
      <c r="K49" s="212" t="n">
        <f aca="false">ASS!$C$45*(1+ASS!$E$45)^(K6-ASS!$C$43)*K7/12</f>
        <v>0</v>
      </c>
      <c r="L49" s="212" t="n">
        <f aca="false">ASS!$C$45*(1+ASS!$E$45)^(L6-ASS!$C$43)*L7/12</f>
        <v>0</v>
      </c>
      <c r="M49" s="212" t="n">
        <f aca="false">ASS!$C$45*(1+ASS!$E$45)^(M6-ASS!$C$43)*M7/12</f>
        <v>0</v>
      </c>
      <c r="N49" s="212" t="n">
        <f aca="false">ASS!$C$45*(1+ASS!$E$45)^(N6-ASS!$C$43)*N7/12</f>
        <v>0</v>
      </c>
      <c r="O49" s="212" t="n">
        <f aca="false">ASS!$C$45*(1+ASS!$E$45)^(O6-ASS!$C$43)*O7/12</f>
        <v>0</v>
      </c>
      <c r="P49" s="212" t="n">
        <f aca="false">ASS!$C$45*(1+ASS!$E$45)^(P6-ASS!$C$43)*P7/12</f>
        <v>0</v>
      </c>
      <c r="Q49" s="212" t="n">
        <f aca="false">ASS!$C$45*(1+ASS!$E$45)^(Q6-ASS!$C$43)*Q7/12</f>
        <v>0</v>
      </c>
      <c r="R49" s="212" t="n">
        <f aca="false">ASS!$C$45*(1+ASS!$E$45)^(R6-ASS!$C$43)*R7/12</f>
        <v>0</v>
      </c>
      <c r="S49" s="212" t="n">
        <f aca="false">ASS!$C$45*(1+ASS!$E$45)^(S6-ASS!$C$43)*S7/12</f>
        <v>0</v>
      </c>
      <c r="T49" s="212" t="n">
        <f aca="false">ASS!$C$45*(1+ASS!$E$45)^(T6-ASS!$C$43)*T7/12</f>
        <v>0</v>
      </c>
      <c r="U49" s="212" t="n">
        <f aca="false">ASS!$C$45*(1+ASS!$E$45)^(U6-ASS!$C$43)*U7/12</f>
        <v>0</v>
      </c>
      <c r="V49" s="212" t="n">
        <f aca="false">ASS!$C$45*(1+ASS!$E$45)^(V6-ASS!$C$43)*V7/12</f>
        <v>0</v>
      </c>
      <c r="W49" s="212" t="n">
        <f aca="false">ASS!$C$45*(1+ASS!$E$45)^(W6-ASS!$C$43)*W7/12</f>
        <v>0</v>
      </c>
      <c r="X49" s="212" t="n">
        <f aca="false">ASS!$C$45*(1+ASS!$E$45)^(X6-ASS!$C$43)*X7/12</f>
        <v>0</v>
      </c>
      <c r="Y49" s="212" t="n">
        <f aca="false">ASS!$C$45*(1+ASS!$E$45)^(Y6-ASS!$C$43)*Y7/12</f>
        <v>0</v>
      </c>
      <c r="Z49" s="212" t="n">
        <f aca="false">ASS!$C$45*(1+ASS!$E$45)^(Z6-ASS!$C$43)*Z7/12</f>
        <v>0</v>
      </c>
      <c r="AA49" s="212" t="n">
        <f aca="false">ASS!$C$45*(1+ASS!$E$45)^(AA6-ASS!$C$43)*AA7/12</f>
        <v>0</v>
      </c>
      <c r="AB49" s="212" t="n">
        <f aca="false">ASS!$C$45*(1+ASS!$E$45)^(AB6-ASS!$C$43)*AB7/12</f>
        <v>0</v>
      </c>
      <c r="AC49" s="212" t="n">
        <f aca="false">ASS!$C$45*(1+ASS!$E$45)^(AC6-ASS!$C$43)*AC7/12</f>
        <v>0</v>
      </c>
      <c r="AD49" s="213" t="n">
        <f aca="false">SUM(D49:AC49)</f>
        <v>0</v>
      </c>
    </row>
    <row r="50" customFormat="false" ht="12.75" hidden="false" customHeight="false" outlineLevel="0" collapsed="false">
      <c r="A50" s="29" t="str">
        <f aca="false">ASS!A46</f>
        <v>Maintenance Reserve</v>
      </c>
      <c r="B50" s="30"/>
      <c r="C50" s="30"/>
      <c r="D50" s="212" t="n">
        <f aca="false">ASS!$C$46*(1+ASS!$E$46)^(D6-ASS!$C$43)*D7/12</f>
        <v>0</v>
      </c>
      <c r="E50" s="212" t="n">
        <f aca="false">ASS!$C$46*(1+ASS!$E$46)^(E6-ASS!$C$43)*E7/12</f>
        <v>0</v>
      </c>
      <c r="F50" s="212" t="n">
        <f aca="false">ASS!$C$46*(1+ASS!$E$46)^(F6-ASS!$C$43)*F7/12</f>
        <v>0</v>
      </c>
      <c r="G50" s="212" t="n">
        <f aca="false">ASS!$C$46*(1+ASS!$E$46)^(G6-ASS!$C$43)*G7/12</f>
        <v>0</v>
      </c>
      <c r="H50" s="212" t="n">
        <f aca="false">ASS!$C$46*(1+ASS!$E$46)^(H6-ASS!$C$43)*H7/12</f>
        <v>0</v>
      </c>
      <c r="I50" s="212" t="n">
        <f aca="false">ASS!$C$46*(1+ASS!$E$46)^(I6-ASS!$C$43)*I7/12</f>
        <v>0</v>
      </c>
      <c r="J50" s="212" t="n">
        <f aca="false">ASS!$C$46*(1+ASS!$E$46)^(J6-ASS!$C$43)*J7/12</f>
        <v>0</v>
      </c>
      <c r="K50" s="212" t="n">
        <f aca="false">ASS!$C$46*(1+ASS!$E$46)^(K6-ASS!$C$43)*K7/12</f>
        <v>0</v>
      </c>
      <c r="L50" s="212" t="n">
        <f aca="false">ASS!$C$46*(1+ASS!$E$46)^(L6-ASS!$C$43)*L7/12</f>
        <v>0</v>
      </c>
      <c r="M50" s="212" t="n">
        <f aca="false">ASS!$C$46*(1+ASS!$E$46)^(M6-ASS!$C$43)*M7/12</f>
        <v>0</v>
      </c>
      <c r="N50" s="212" t="n">
        <f aca="false">ASS!$C$46*(1+ASS!$E$46)^(N6-ASS!$C$43)*N7/12</f>
        <v>0</v>
      </c>
      <c r="O50" s="212" t="n">
        <f aca="false">ASS!$C$46*(1+ASS!$E$46)^(O6-ASS!$C$43)*O7/12</f>
        <v>0</v>
      </c>
      <c r="P50" s="212" t="n">
        <f aca="false">ASS!$C$46*(1+ASS!$E$46)^(P6-ASS!$C$43)*P7/12</f>
        <v>0</v>
      </c>
      <c r="Q50" s="212" t="n">
        <f aca="false">ASS!$C$46*(1+ASS!$E$46)^(Q6-ASS!$C$43)*Q7/12</f>
        <v>0</v>
      </c>
      <c r="R50" s="212" t="n">
        <f aca="false">ASS!$C$46*(1+ASS!$E$46)^(R6-ASS!$C$43)*R7/12</f>
        <v>0</v>
      </c>
      <c r="S50" s="212" t="n">
        <f aca="false">ASS!$C$46*(1+ASS!$E$46)^(S6-ASS!$C$43)*S7/12</f>
        <v>0</v>
      </c>
      <c r="T50" s="212" t="n">
        <f aca="false">ASS!$C$46*(1+ASS!$E$46)^(T6-ASS!$C$43)*T7/12</f>
        <v>0</v>
      </c>
      <c r="U50" s="212" t="n">
        <f aca="false">ASS!$C$46*(1+ASS!$E$46)^(U6-ASS!$C$43)*U7/12</f>
        <v>0</v>
      </c>
      <c r="V50" s="212" t="n">
        <f aca="false">ASS!$C$46*(1+ASS!$E$46)^(V6-ASS!$C$43)*V7/12</f>
        <v>0</v>
      </c>
      <c r="W50" s="212" t="n">
        <f aca="false">ASS!$C$46*(1+ASS!$E$46)^(W6-ASS!$C$43)*W7/12</f>
        <v>0</v>
      </c>
      <c r="X50" s="212" t="n">
        <f aca="false">ASS!$C$46*(1+ASS!$E$46)^(X6-ASS!$C$43)*X7/12</f>
        <v>0</v>
      </c>
      <c r="Y50" s="212" t="n">
        <f aca="false">ASS!$C$46*(1+ASS!$E$46)^(Y6-ASS!$C$43)*Y7/12</f>
        <v>0</v>
      </c>
      <c r="Z50" s="212" t="n">
        <f aca="false">ASS!$C$46*(1+ASS!$E$46)^(Z6-ASS!$C$43)*Z7/12</f>
        <v>0</v>
      </c>
      <c r="AA50" s="212" t="n">
        <f aca="false">ASS!$C$46*(1+ASS!$E$46)^(AA6-ASS!$C$43)*AA7/12</f>
        <v>0</v>
      </c>
      <c r="AB50" s="212" t="n">
        <f aca="false">ASS!$C$46*(1+ASS!$E$46)^(AB6-ASS!$C$43)*AB7/12</f>
        <v>0</v>
      </c>
      <c r="AC50" s="212" t="n">
        <f aca="false">ASS!$C$46*(1+ASS!$E$46)^(AC6-ASS!$C$43)*AC7/12</f>
        <v>0</v>
      </c>
      <c r="AD50" s="213" t="n">
        <f aca="false">SUM(D50:AC50)</f>
        <v>0</v>
      </c>
    </row>
    <row r="51" customFormat="false" ht="12.75" hidden="false" customHeight="false" outlineLevel="0" collapsed="false">
      <c r="A51" s="29" t="str">
        <f aca="false">ASS!A47</f>
        <v>Plant Insurance</v>
      </c>
      <c r="B51" s="30"/>
      <c r="C51" s="30"/>
      <c r="D51" s="212" t="n">
        <f aca="false">ASS!$C$47*(1+ASS!$E$47)^(D6-ASS!$C$43)*D7/12</f>
        <v>0</v>
      </c>
      <c r="E51" s="212" t="n">
        <f aca="false">ASS!$C$47*(1+ASS!$E$47)^(E6-ASS!$C$43)*E7/12</f>
        <v>0</v>
      </c>
      <c r="F51" s="212" t="n">
        <f aca="false">ASS!$C$47*(1+ASS!$E$47)^(F6-ASS!$C$43)*F7/12</f>
        <v>0</v>
      </c>
      <c r="G51" s="212" t="n">
        <f aca="false">ASS!$C$47*(1+ASS!$E$47)^(G6-ASS!$C$43)*G7/12</f>
        <v>0</v>
      </c>
      <c r="H51" s="212" t="n">
        <f aca="false">ASS!$C$47*(1+ASS!$E$47)^(H6-ASS!$C$43)*H7/12</f>
        <v>0</v>
      </c>
      <c r="I51" s="212" t="n">
        <f aca="false">ASS!$C$47*(1+ASS!$E$47)^(I6-ASS!$C$43)*I7/12</f>
        <v>0</v>
      </c>
      <c r="J51" s="212" t="n">
        <f aca="false">ASS!$C$47*(1+ASS!$E$47)^(J6-ASS!$C$43)*J7/12</f>
        <v>0</v>
      </c>
      <c r="K51" s="212" t="n">
        <f aca="false">ASS!$C$47*(1+ASS!$E$47)^(K6-ASS!$C$43)*K7/12</f>
        <v>0</v>
      </c>
      <c r="L51" s="212" t="n">
        <f aca="false">ASS!$C$47*(1+ASS!$E$47)^(L6-ASS!$C$43)*L7/12</f>
        <v>0</v>
      </c>
      <c r="M51" s="212" t="n">
        <f aca="false">ASS!$C$47*(1+ASS!$E$47)^(M6-ASS!$C$43)*M7/12</f>
        <v>0</v>
      </c>
      <c r="N51" s="212" t="n">
        <f aca="false">ASS!$C$47*(1+ASS!$E$47)^(N6-ASS!$C$43)*N7/12</f>
        <v>0</v>
      </c>
      <c r="O51" s="212" t="n">
        <f aca="false">ASS!$C$47*(1+ASS!$E$47)^(O6-ASS!$C$43)*O7/12</f>
        <v>0</v>
      </c>
      <c r="P51" s="212" t="n">
        <f aca="false">ASS!$C$47*(1+ASS!$E$47)^(P6-ASS!$C$43)*P7/12</f>
        <v>0</v>
      </c>
      <c r="Q51" s="212" t="n">
        <f aca="false">ASS!$C$47*(1+ASS!$E$47)^(Q6-ASS!$C$43)*Q7/12</f>
        <v>0</v>
      </c>
      <c r="R51" s="212" t="n">
        <f aca="false">ASS!$C$47*(1+ASS!$E$47)^(R6-ASS!$C$43)*R7/12</f>
        <v>0</v>
      </c>
      <c r="S51" s="212" t="n">
        <f aca="false">ASS!$C$47*(1+ASS!$E$47)^(S6-ASS!$C$43)*S7/12</f>
        <v>0</v>
      </c>
      <c r="T51" s="212" t="n">
        <f aca="false">ASS!$C$47*(1+ASS!$E$47)^(T6-ASS!$C$43)*T7/12</f>
        <v>0</v>
      </c>
      <c r="U51" s="212" t="n">
        <f aca="false">ASS!$C$47*(1+ASS!$E$47)^(U6-ASS!$C$43)*U7/12</f>
        <v>0</v>
      </c>
      <c r="V51" s="212" t="n">
        <f aca="false">ASS!$C$47*(1+ASS!$E$47)^(V6-ASS!$C$43)*V7/12</f>
        <v>0</v>
      </c>
      <c r="W51" s="212" t="n">
        <f aca="false">ASS!$C$47*(1+ASS!$E$47)^(W6-ASS!$C$43)*W7/12</f>
        <v>0</v>
      </c>
      <c r="X51" s="212" t="n">
        <f aca="false">ASS!$C$47*(1+ASS!$E$47)^(X6-ASS!$C$43)*X7/12</f>
        <v>0</v>
      </c>
      <c r="Y51" s="212" t="n">
        <f aca="false">ASS!$C$47*(1+ASS!$E$47)^(Y6-ASS!$C$43)*Y7/12</f>
        <v>0</v>
      </c>
      <c r="Z51" s="212" t="n">
        <f aca="false">ASS!$C$47*(1+ASS!$E$47)^(Z6-ASS!$C$43)*Z7/12</f>
        <v>0</v>
      </c>
      <c r="AA51" s="212" t="n">
        <f aca="false">ASS!$C$47*(1+ASS!$E$47)^(AA6-ASS!$C$43)*AA7/12</f>
        <v>0</v>
      </c>
      <c r="AB51" s="212" t="n">
        <f aca="false">ASS!$C$47*(1+ASS!$E$47)^(AB6-ASS!$C$43)*AB7/12</f>
        <v>0</v>
      </c>
      <c r="AC51" s="212" t="n">
        <f aca="false">ASS!$C$47*(1+ASS!$E$47)^(AC6-ASS!$C$43)*AC7/12</f>
        <v>0</v>
      </c>
      <c r="AD51" s="213" t="n">
        <f aca="false">SUM(D51:AC51)</f>
        <v>0</v>
      </c>
    </row>
    <row r="52" customFormat="false" ht="12.75" hidden="false" customHeight="false" outlineLevel="0" collapsed="false">
      <c r="A52" s="29" t="str">
        <f aca="false">ASS!A48</f>
        <v>Payroll</v>
      </c>
      <c r="B52" s="30"/>
      <c r="C52" s="30"/>
      <c r="D52" s="212" t="n">
        <f aca="false">ASS!$C$48*(1+ASS!$E$48)^(D6-ASS!$C$43)*D7/12</f>
        <v>0</v>
      </c>
      <c r="E52" s="212" t="n">
        <f aca="false">ASS!$C$48*(1+ASS!$E$48)^(E6-ASS!$C$43)*E7/12</f>
        <v>0</v>
      </c>
      <c r="F52" s="212" t="n">
        <f aca="false">ASS!$C$48*(1+ASS!$E$48)^(F6-ASS!$C$43)*F7/12</f>
        <v>0</v>
      </c>
      <c r="G52" s="212" t="n">
        <f aca="false">ASS!$C$48*(1+ASS!$E$48)^(G6-ASS!$C$43)*G7/12</f>
        <v>0</v>
      </c>
      <c r="H52" s="212" t="n">
        <f aca="false">ASS!$C$48*(1+ASS!$E$48)^(H6-ASS!$C$43)*H7/12</f>
        <v>0</v>
      </c>
      <c r="I52" s="212" t="n">
        <f aca="false">ASS!$C$48*(1+ASS!$E$48)^(I6-ASS!$C$43)*I7/12</f>
        <v>0</v>
      </c>
      <c r="J52" s="212" t="n">
        <f aca="false">ASS!$C$48*(1+ASS!$E$48)^(J6-ASS!$C$43)*J7/12</f>
        <v>0</v>
      </c>
      <c r="K52" s="212" t="n">
        <f aca="false">ASS!$C$48*(1+ASS!$E$48)^(K6-ASS!$C$43)*K7/12</f>
        <v>0</v>
      </c>
      <c r="L52" s="212" t="n">
        <f aca="false">ASS!$C$48*(1+ASS!$E$48)^(L6-ASS!$C$43)*L7/12</f>
        <v>0</v>
      </c>
      <c r="M52" s="212" t="n">
        <f aca="false">ASS!$C$48*(1+ASS!$E$48)^(M6-ASS!$C$43)*M7/12</f>
        <v>0</v>
      </c>
      <c r="N52" s="212" t="n">
        <f aca="false">ASS!$C$48*(1+ASS!$E$48)^(N6-ASS!$C$43)*N7/12</f>
        <v>0</v>
      </c>
      <c r="O52" s="212" t="n">
        <f aca="false">ASS!$C$48*(1+ASS!$E$48)^(O6-ASS!$C$43)*O7/12</f>
        <v>0</v>
      </c>
      <c r="P52" s="212" t="n">
        <f aca="false">ASS!$C$48*(1+ASS!$E$48)^(P6-ASS!$C$43)*P7/12</f>
        <v>0</v>
      </c>
      <c r="Q52" s="212" t="n">
        <f aca="false">ASS!$C$48*(1+ASS!$E$48)^(Q6-ASS!$C$43)*Q7/12</f>
        <v>0</v>
      </c>
      <c r="R52" s="212" t="n">
        <f aca="false">ASS!$C$48*(1+ASS!$E$48)^(R6-ASS!$C$43)*R7/12</f>
        <v>0</v>
      </c>
      <c r="S52" s="212" t="n">
        <f aca="false">ASS!$C$48*(1+ASS!$E$48)^(S6-ASS!$C$43)*S7/12</f>
        <v>0</v>
      </c>
      <c r="T52" s="212" t="n">
        <f aca="false">ASS!$C$48*(1+ASS!$E$48)^(T6-ASS!$C$43)*T7/12</f>
        <v>0</v>
      </c>
      <c r="U52" s="212" t="n">
        <f aca="false">ASS!$C$48*(1+ASS!$E$48)^(U6-ASS!$C$43)*U7/12</f>
        <v>0</v>
      </c>
      <c r="V52" s="212" t="n">
        <f aca="false">ASS!$C$48*(1+ASS!$E$48)^(V6-ASS!$C$43)*V7/12</f>
        <v>0</v>
      </c>
      <c r="W52" s="212" t="n">
        <f aca="false">ASS!$C$48*(1+ASS!$E$48)^(W6-ASS!$C$43)*W7/12</f>
        <v>0</v>
      </c>
      <c r="X52" s="212" t="n">
        <f aca="false">ASS!$C$48*(1+ASS!$E$48)^(X6-ASS!$C$43)*X7/12</f>
        <v>0</v>
      </c>
      <c r="Y52" s="212" t="n">
        <f aca="false">ASS!$C$48*(1+ASS!$E$48)^(Y6-ASS!$C$43)*Y7/12</f>
        <v>0</v>
      </c>
      <c r="Z52" s="212" t="n">
        <f aca="false">ASS!$C$48*(1+ASS!$E$48)^(Z6-ASS!$C$43)*Z7/12</f>
        <v>0</v>
      </c>
      <c r="AA52" s="212" t="n">
        <f aca="false">ASS!$C$48*(1+ASS!$E$48)^(AA6-ASS!$C$43)*AA7/12</f>
        <v>0</v>
      </c>
      <c r="AB52" s="212" t="n">
        <f aca="false">ASS!$C$48*(1+ASS!$E$48)^(AB6-ASS!$C$43)*AB7/12</f>
        <v>0</v>
      </c>
      <c r="AC52" s="212" t="n">
        <f aca="false">ASS!$C$48*(1+ASS!$E$48)^(AC6-ASS!$C$43)*AC7/12</f>
        <v>0</v>
      </c>
      <c r="AD52" s="213" t="n">
        <f aca="false">SUM(D52:AC52)</f>
        <v>0</v>
      </c>
    </row>
    <row r="53" customFormat="false" ht="12.75" hidden="false" customHeight="false" outlineLevel="0" collapsed="false">
      <c r="A53" s="29" t="str">
        <f aca="false">ASS!A49</f>
        <v>Spare Parts </v>
      </c>
      <c r="B53" s="30"/>
      <c r="C53" s="30"/>
      <c r="D53" s="212" t="n">
        <f aca="false">ASS!$C$49*(1+ASS!$E$49)^(D6-ASS!$C$43)*D7/12</f>
        <v>0</v>
      </c>
      <c r="E53" s="212" t="n">
        <f aca="false">ASS!$C$49*(1+ASS!$E$49)^(E6-ASS!$C$43)*E7/12</f>
        <v>0</v>
      </c>
      <c r="F53" s="212" t="n">
        <f aca="false">ASS!$C$49*(1+ASS!$E$49)^(F6-ASS!$C$43)*F7/12</f>
        <v>0</v>
      </c>
      <c r="G53" s="212" t="n">
        <f aca="false">ASS!$C$49*(1+ASS!$E$49)^(G6-ASS!$C$43)*G7/12</f>
        <v>0</v>
      </c>
      <c r="H53" s="212" t="n">
        <f aca="false">ASS!$C$49*(1+ASS!$E$49)^(H6-ASS!$C$43)*H7/12</f>
        <v>0</v>
      </c>
      <c r="I53" s="212" t="n">
        <f aca="false">ASS!$C$49*(1+ASS!$E$49)^(I6-ASS!$C$43)*I7/12</f>
        <v>0</v>
      </c>
      <c r="J53" s="212" t="n">
        <f aca="false">ASS!$C$49*(1+ASS!$E$49)^(J6-ASS!$C$43)*J7/12</f>
        <v>0</v>
      </c>
      <c r="K53" s="212" t="n">
        <f aca="false">ASS!$C$49*(1+ASS!$E$49)^(K6-ASS!$C$43)*K7/12</f>
        <v>0</v>
      </c>
      <c r="L53" s="212" t="n">
        <f aca="false">ASS!$C$49*(1+ASS!$E$49)^(L6-ASS!$C$43)*L7/12</f>
        <v>0</v>
      </c>
      <c r="M53" s="212" t="n">
        <f aca="false">ASS!$C$49*(1+ASS!$E$49)^(M6-ASS!$C$43)*M7/12</f>
        <v>0</v>
      </c>
      <c r="N53" s="212" t="n">
        <f aca="false">ASS!$C$49*(1+ASS!$E$49)^(N6-ASS!$C$43)*N7/12</f>
        <v>0</v>
      </c>
      <c r="O53" s="212" t="n">
        <f aca="false">ASS!$C$49*(1+ASS!$E$49)^(O6-ASS!$C$43)*O7/12</f>
        <v>0</v>
      </c>
      <c r="P53" s="212" t="n">
        <f aca="false">ASS!$C$49*(1+ASS!$E$49)^(P6-ASS!$C$43)*P7/12</f>
        <v>0</v>
      </c>
      <c r="Q53" s="212" t="n">
        <f aca="false">ASS!$C$49*(1+ASS!$E$49)^(Q6-ASS!$C$43)*Q7/12</f>
        <v>0</v>
      </c>
      <c r="R53" s="212" t="n">
        <f aca="false">ASS!$C$49*(1+ASS!$E$49)^(R6-ASS!$C$43)*R7/12</f>
        <v>0</v>
      </c>
      <c r="S53" s="212" t="n">
        <f aca="false">ASS!$C$49*(1+ASS!$E$49)^(S6-ASS!$C$43)*S7/12</f>
        <v>0</v>
      </c>
      <c r="T53" s="212" t="n">
        <f aca="false">ASS!$C$49*(1+ASS!$E$49)^(T6-ASS!$C$43)*T7/12</f>
        <v>0</v>
      </c>
      <c r="U53" s="212" t="n">
        <f aca="false">ASS!$C$49*(1+ASS!$E$49)^(U6-ASS!$C$43)*U7/12</f>
        <v>0</v>
      </c>
      <c r="V53" s="212" t="n">
        <f aca="false">ASS!$C$49*(1+ASS!$E$49)^(V6-ASS!$C$43)*V7/12</f>
        <v>0</v>
      </c>
      <c r="W53" s="212" t="n">
        <f aca="false">ASS!$C$49*(1+ASS!$E$49)^(W6-ASS!$C$43)*W7/12</f>
        <v>0</v>
      </c>
      <c r="X53" s="212" t="n">
        <f aca="false">ASS!$C$49*(1+ASS!$E$49)^(X6-ASS!$C$43)*X7/12</f>
        <v>0</v>
      </c>
      <c r="Y53" s="212" t="n">
        <f aca="false">ASS!$C$49*(1+ASS!$E$49)^(Y6-ASS!$C$43)*Y7/12</f>
        <v>0</v>
      </c>
      <c r="Z53" s="212" t="n">
        <f aca="false">ASS!$C$49*(1+ASS!$E$49)^(Z6-ASS!$C$43)*Z7/12</f>
        <v>0</v>
      </c>
      <c r="AA53" s="212" t="n">
        <f aca="false">ASS!$C$49*(1+ASS!$E$49)^(AA6-ASS!$C$43)*AA7/12</f>
        <v>0</v>
      </c>
      <c r="AB53" s="212" t="n">
        <f aca="false">ASS!$C$49*(1+ASS!$E$49)^(AB6-ASS!$C$43)*AB7/12</f>
        <v>0</v>
      </c>
      <c r="AC53" s="212" t="n">
        <f aca="false">ASS!$C$49*(1+ASS!$E$49)^(AC6-ASS!$C$43)*AC7/12</f>
        <v>0</v>
      </c>
      <c r="AD53" s="213" t="n">
        <f aca="false">SUM(D53:AC53)</f>
        <v>0</v>
      </c>
    </row>
    <row r="54" customFormat="false" ht="12.75" hidden="false" customHeight="false" outlineLevel="0" collapsed="false">
      <c r="A54" s="29" t="str">
        <f aca="false">ASS!A50</f>
        <v>Water &amp; Chemicals</v>
      </c>
      <c r="B54" s="30"/>
      <c r="C54" s="30"/>
      <c r="D54" s="212" t="n">
        <f aca="false">ASS!$C$50*(1+ASS!$E$50)^(D6-ASS!$C$43)*D7/12</f>
        <v>0</v>
      </c>
      <c r="E54" s="212" t="n">
        <f aca="false">ASS!$C$50*(1+ASS!$E$50)^(E6-ASS!$C$43)*E7/12</f>
        <v>0</v>
      </c>
      <c r="F54" s="212" t="n">
        <f aca="false">ASS!$C$50*(1+ASS!$E$50)^(F6-ASS!$C$43)*F7/12</f>
        <v>0</v>
      </c>
      <c r="G54" s="212" t="n">
        <f aca="false">ASS!$C$50*(1+ASS!$E$50)^(G6-ASS!$C$43)*G7/12</f>
        <v>0</v>
      </c>
      <c r="H54" s="212" t="n">
        <f aca="false">ASS!$C$50*(1+ASS!$E$50)^(H6-ASS!$C$43)*H7/12</f>
        <v>0</v>
      </c>
      <c r="I54" s="212" t="n">
        <f aca="false">ASS!$C$50*(1+ASS!$E$50)^(I6-ASS!$C$43)*I7/12</f>
        <v>0</v>
      </c>
      <c r="J54" s="212" t="n">
        <f aca="false">ASS!$C$50*(1+ASS!$E$50)^(J6-ASS!$C$43)*J7/12</f>
        <v>0</v>
      </c>
      <c r="K54" s="212" t="n">
        <f aca="false">ASS!$C$50*(1+ASS!$E$50)^(K6-ASS!$C$43)*K7/12</f>
        <v>0</v>
      </c>
      <c r="L54" s="212" t="n">
        <f aca="false">ASS!$C$50*(1+ASS!$E$50)^(L6-ASS!$C$43)*L7/12</f>
        <v>0</v>
      </c>
      <c r="M54" s="212" t="n">
        <f aca="false">ASS!$C$50*(1+ASS!$E$50)^(M6-ASS!$C$43)*M7/12</f>
        <v>0</v>
      </c>
      <c r="N54" s="212" t="n">
        <f aca="false">ASS!$C$50*(1+ASS!$E$50)^(N6-ASS!$C$43)*N7/12</f>
        <v>0</v>
      </c>
      <c r="O54" s="212" t="n">
        <f aca="false">ASS!$C$50*(1+ASS!$E$50)^(O6-ASS!$C$43)*O7/12</f>
        <v>0</v>
      </c>
      <c r="P54" s="212" t="n">
        <f aca="false">ASS!$C$50*(1+ASS!$E$50)^(P6-ASS!$C$43)*P7/12</f>
        <v>0</v>
      </c>
      <c r="Q54" s="212" t="n">
        <f aca="false">ASS!$C$50*(1+ASS!$E$50)^(Q6-ASS!$C$43)*Q7/12</f>
        <v>0</v>
      </c>
      <c r="R54" s="212" t="n">
        <f aca="false">ASS!$C$50*(1+ASS!$E$50)^(R6-ASS!$C$43)*R7/12</f>
        <v>0</v>
      </c>
      <c r="S54" s="212" t="n">
        <f aca="false">ASS!$C$50*(1+ASS!$E$50)^(S6-ASS!$C$43)*S7/12</f>
        <v>0</v>
      </c>
      <c r="T54" s="212" t="n">
        <f aca="false">ASS!$C$50*(1+ASS!$E$50)^(T6-ASS!$C$43)*T7/12</f>
        <v>0</v>
      </c>
      <c r="U54" s="212" t="n">
        <f aca="false">ASS!$C$50*(1+ASS!$E$50)^(U6-ASS!$C$43)*U7/12</f>
        <v>0</v>
      </c>
      <c r="V54" s="212" t="n">
        <f aca="false">ASS!$C$50*(1+ASS!$E$50)^(V6-ASS!$C$43)*V7/12</f>
        <v>0</v>
      </c>
      <c r="W54" s="212" t="n">
        <f aca="false">ASS!$C$50*(1+ASS!$E$50)^(W6-ASS!$C$43)*W7/12</f>
        <v>0</v>
      </c>
      <c r="X54" s="212" t="n">
        <f aca="false">ASS!$C$50*(1+ASS!$E$50)^(X6-ASS!$C$43)*X7/12</f>
        <v>0</v>
      </c>
      <c r="Y54" s="212" t="n">
        <f aca="false">ASS!$C$50*(1+ASS!$E$50)^(Y6-ASS!$C$43)*Y7/12</f>
        <v>0</v>
      </c>
      <c r="Z54" s="212" t="n">
        <f aca="false">ASS!$C$50*(1+ASS!$E$50)^(Z6-ASS!$C$43)*Z7/12</f>
        <v>0</v>
      </c>
      <c r="AA54" s="212" t="n">
        <f aca="false">ASS!$C$50*(1+ASS!$E$50)^(AA6-ASS!$C$43)*AA7/12</f>
        <v>0</v>
      </c>
      <c r="AB54" s="212" t="n">
        <f aca="false">ASS!$C$50*(1+ASS!$E$50)^(AB6-ASS!$C$43)*AB7/12</f>
        <v>0</v>
      </c>
      <c r="AC54" s="212" t="n">
        <f aca="false">ASS!$C$50*(1+ASS!$E$50)^(AC6-ASS!$C$43)*AC7/12</f>
        <v>0</v>
      </c>
      <c r="AD54" s="213" t="n">
        <f aca="false">SUM(D54:AC54)</f>
        <v>0</v>
      </c>
    </row>
    <row r="55" customFormat="false" ht="12.75" hidden="false" customHeight="false" outlineLevel="0" collapsed="false">
      <c r="A55" s="29" t="str">
        <f aca="false">ASS!A51</f>
        <v>Plant Operations (O&amp;M Fee)</v>
      </c>
      <c r="B55" s="30"/>
      <c r="C55" s="30"/>
      <c r="D55" s="212" t="n">
        <f aca="false">ASS!$C$51*(1+ASS!$E$51)^(D6-ASS!$C$43)*D7/12</f>
        <v>0</v>
      </c>
      <c r="E55" s="212" t="n">
        <f aca="false">ASS!$C$51*(1+ASS!$E$51)^(E6-ASS!$C$43)*E7/12</f>
        <v>0</v>
      </c>
      <c r="F55" s="212" t="n">
        <f aca="false">ASS!$C$51*(1+ASS!$E$51)^(F6-ASS!$C$43)*F7/12</f>
        <v>0</v>
      </c>
      <c r="G55" s="212" t="n">
        <f aca="false">ASS!$C$51*(1+ASS!$E$51)^(G6-ASS!$C$43)*G7/12</f>
        <v>0</v>
      </c>
      <c r="H55" s="212" t="n">
        <f aca="false">ASS!$C$51*(1+ASS!$E$51)^(H6-ASS!$C$43)*H7/12</f>
        <v>0</v>
      </c>
      <c r="I55" s="212" t="n">
        <f aca="false">ASS!$C$51*(1+ASS!$E$51)^(I6-ASS!$C$43)*I7/12</f>
        <v>0</v>
      </c>
      <c r="J55" s="212" t="n">
        <f aca="false">ASS!$C$51*(1+ASS!$E$51)^(J6-ASS!$C$43)*J7/12</f>
        <v>0</v>
      </c>
      <c r="K55" s="212" t="n">
        <f aca="false">ASS!$C$51*(1+ASS!$E$51)^(K6-ASS!$C$43)*K7/12</f>
        <v>0</v>
      </c>
      <c r="L55" s="212" t="n">
        <f aca="false">ASS!$C$51*(1+ASS!$E$51)^(L6-ASS!$C$43)*L7/12</f>
        <v>0</v>
      </c>
      <c r="M55" s="212" t="n">
        <f aca="false">ASS!$C$51*(1+ASS!$E$51)^(M6-ASS!$C$43)*M7/12</f>
        <v>0</v>
      </c>
      <c r="N55" s="212" t="n">
        <f aca="false">ASS!$C$51*(1+ASS!$E$51)^(N6-ASS!$C$43)*N7/12</f>
        <v>0</v>
      </c>
      <c r="O55" s="212" t="n">
        <f aca="false">ASS!$C$51*(1+ASS!$E$51)^(O6-ASS!$C$43)*O7/12</f>
        <v>0</v>
      </c>
      <c r="P55" s="212" t="n">
        <f aca="false">ASS!$C$51*(1+ASS!$E$51)^(P6-ASS!$C$43)*P7/12</f>
        <v>0</v>
      </c>
      <c r="Q55" s="212" t="n">
        <f aca="false">ASS!$C$51*(1+ASS!$E$51)^(Q6-ASS!$C$43)*Q7/12</f>
        <v>0</v>
      </c>
      <c r="R55" s="212" t="n">
        <f aca="false">ASS!$C$51*(1+ASS!$E$51)^(R6-ASS!$C$43)*R7/12</f>
        <v>0</v>
      </c>
      <c r="S55" s="212" t="n">
        <f aca="false">ASS!$C$51*(1+ASS!$E$51)^(S6-ASS!$C$43)*S7/12</f>
        <v>0</v>
      </c>
      <c r="T55" s="212" t="n">
        <f aca="false">ASS!$C$51*(1+ASS!$E$51)^(T6-ASS!$C$43)*T7/12</f>
        <v>0</v>
      </c>
      <c r="U55" s="212" t="n">
        <f aca="false">ASS!$C$51*(1+ASS!$E$51)^(U6-ASS!$C$43)*U7/12</f>
        <v>0</v>
      </c>
      <c r="V55" s="212" t="n">
        <f aca="false">ASS!$C$51*(1+ASS!$E$51)^(V6-ASS!$C$43)*V7/12</f>
        <v>0</v>
      </c>
      <c r="W55" s="212" t="n">
        <f aca="false">ASS!$C$51*(1+ASS!$E$51)^(W6-ASS!$C$43)*W7/12</f>
        <v>0</v>
      </c>
      <c r="X55" s="212" t="n">
        <f aca="false">ASS!$C$51*(1+ASS!$E$51)^(X6-ASS!$C$43)*X7/12</f>
        <v>0</v>
      </c>
      <c r="Y55" s="212" t="n">
        <f aca="false">ASS!$C$51*(1+ASS!$E$51)^(Y6-ASS!$C$43)*Y7/12</f>
        <v>0</v>
      </c>
      <c r="Z55" s="212" t="n">
        <f aca="false">ASS!$C$51*(1+ASS!$E$51)^(Z6-ASS!$C$43)*Z7/12</f>
        <v>0</v>
      </c>
      <c r="AA55" s="212" t="n">
        <f aca="false">ASS!$C$51*(1+ASS!$E$51)^(AA6-ASS!$C$43)*AA7/12</f>
        <v>0</v>
      </c>
      <c r="AB55" s="212" t="n">
        <f aca="false">ASS!$C$51*(1+ASS!$E$51)^(AB6-ASS!$C$43)*AB7/12</f>
        <v>0</v>
      </c>
      <c r="AC55" s="212" t="n">
        <f aca="false">ASS!$C$51*(1+ASS!$E$51)^(AC6-ASS!$C$43)*AC7/12</f>
        <v>0</v>
      </c>
      <c r="AD55" s="213" t="n">
        <f aca="false">SUM(D55:AC55)</f>
        <v>0</v>
      </c>
    </row>
    <row r="56" customFormat="false" ht="12.75" hidden="false" customHeight="false" outlineLevel="0" collapsed="false">
      <c r="A56" s="29" t="str">
        <f aca="false">ASS!A52</f>
        <v>Transmission Capacity Pmt.</v>
      </c>
      <c r="B56" s="30"/>
      <c r="C56" s="212"/>
      <c r="D56" s="212" t="n">
        <f aca="false">ASS!$C$52*(1+ASS!$E$52)^(D6-ASS!$C$43)*D7/12</f>
        <v>0</v>
      </c>
      <c r="E56" s="212" t="n">
        <f aca="false">ASS!$C$52*(1+ASS!$E$52)^(E6-ASS!$C$43)*E7/12</f>
        <v>0</v>
      </c>
      <c r="F56" s="212" t="n">
        <f aca="false">ASS!$C$52*(1+ASS!$E$52)^(F6-ASS!$C$43)*F7/12</f>
        <v>0</v>
      </c>
      <c r="G56" s="212" t="n">
        <f aca="false">ASS!$C$52*(1+ASS!$E$52)^(G6-ASS!$C$43)*G7/12</f>
        <v>0</v>
      </c>
      <c r="H56" s="212" t="n">
        <f aca="false">ASS!$C$52*(1+ASS!$E$52)^(H6-ASS!$C$43)*H7/12</f>
        <v>0</v>
      </c>
      <c r="I56" s="212" t="n">
        <f aca="false">ASS!$C$52*(1+ASS!$E$52)^(I6-ASS!$C$43)*I7/12</f>
        <v>0</v>
      </c>
      <c r="J56" s="212" t="n">
        <f aca="false">ASS!$C$52*(1+ASS!$E$52)^(J6-ASS!$C$43)*J7/12</f>
        <v>0</v>
      </c>
      <c r="K56" s="212" t="n">
        <f aca="false">ASS!$C$52*(1+ASS!$E$52)^(K6-ASS!$C$43)*K7/12</f>
        <v>0</v>
      </c>
      <c r="L56" s="212" t="n">
        <f aca="false">ASS!$C$52*(1+ASS!$E$52)^(L6-ASS!$C$43)*L7/12</f>
        <v>0</v>
      </c>
      <c r="M56" s="212" t="n">
        <f aca="false">ASS!$C$52*(1+ASS!$E$52)^(M6-ASS!$C$43)*M7/12</f>
        <v>0</v>
      </c>
      <c r="N56" s="212" t="n">
        <f aca="false">ASS!$C$52*(1+ASS!$E$52)^(N6-ASS!$C$43)*N7/12</f>
        <v>0</v>
      </c>
      <c r="O56" s="212" t="n">
        <f aca="false">ASS!$C$52*(1+ASS!$E$52)^(O6-ASS!$C$43)*O7/12</f>
        <v>0</v>
      </c>
      <c r="P56" s="212" t="n">
        <f aca="false">ASS!$C$52*(1+ASS!$E$52)^(P6-ASS!$C$43)*P7/12</f>
        <v>0</v>
      </c>
      <c r="Q56" s="212" t="n">
        <f aca="false">ASS!$C$52*(1+ASS!$E$52)^(Q6-ASS!$C$43)*Q7/12</f>
        <v>0</v>
      </c>
      <c r="R56" s="212" t="n">
        <f aca="false">ASS!$C$52*(1+ASS!$E$52)^(R6-ASS!$C$43)*R7/12</f>
        <v>0</v>
      </c>
      <c r="S56" s="212" t="n">
        <f aca="false">ASS!$C$52*(1+ASS!$E$52)^(S6-ASS!$C$43)*S7/12</f>
        <v>0</v>
      </c>
      <c r="T56" s="212" t="n">
        <f aca="false">ASS!$C$52*(1+ASS!$E$52)^(T6-ASS!$C$43)*T7/12</f>
        <v>0</v>
      </c>
      <c r="U56" s="212" t="n">
        <f aca="false">ASS!$C$52*(1+ASS!$E$52)^(U6-ASS!$C$43)*U7/12</f>
        <v>0</v>
      </c>
      <c r="V56" s="212" t="n">
        <f aca="false">ASS!$C$52*(1+ASS!$E$52)^(V6-ASS!$C$43)*V7/12</f>
        <v>0</v>
      </c>
      <c r="W56" s="212" t="n">
        <f aca="false">ASS!$C$52*(1+ASS!$E$52)^(W6-ASS!$C$43)*W7/12</f>
        <v>0</v>
      </c>
      <c r="X56" s="212" t="n">
        <f aca="false">ASS!$C$52*(1+ASS!$E$52)^(X6-ASS!$C$43)*X7/12</f>
        <v>0</v>
      </c>
      <c r="Y56" s="212" t="n">
        <f aca="false">ASS!$C$52*(1+ASS!$E$52)^(Y6-ASS!$C$43)*Y7/12</f>
        <v>0</v>
      </c>
      <c r="Z56" s="212" t="n">
        <f aca="false">ASS!$C$52*(1+ASS!$E$52)^(Z6-ASS!$C$43)*Z7/12</f>
        <v>0</v>
      </c>
      <c r="AA56" s="212" t="n">
        <f aca="false">ASS!$C$52*(1+ASS!$E$52)^(AA6-ASS!$C$43)*AA7/12</f>
        <v>0</v>
      </c>
      <c r="AB56" s="212" t="n">
        <f aca="false">ASS!$C$52*(1+ASS!$E$52)^(AB6-ASS!$C$43)*AB7/12</f>
        <v>0</v>
      </c>
      <c r="AC56" s="212" t="n">
        <f aca="false">ASS!$C$52*(1+ASS!$E$52)^(AC6-ASS!$C$43)*AC7/12</f>
        <v>0</v>
      </c>
      <c r="AD56" s="213" t="n">
        <f aca="false">SUM(D56:AC56)</f>
        <v>0</v>
      </c>
    </row>
    <row r="57" customFormat="false" ht="12.75" hidden="false" customHeight="false" outlineLevel="0" collapsed="false">
      <c r="A57" s="29" t="str">
        <f aca="false">ASS!A53</f>
        <v>Pipeline Operations</v>
      </c>
      <c r="B57" s="30"/>
      <c r="C57" s="30"/>
      <c r="D57" s="212" t="n">
        <f aca="false">ASS!$C$53*(1+ASS!$E$53)^(D6-ASS!$C$43)*D7/12</f>
        <v>0</v>
      </c>
      <c r="E57" s="212" t="n">
        <f aca="false">ASS!$C$53*(1+ASS!$E$53)^(E6-ASS!$C$43)*E7/12</f>
        <v>0</v>
      </c>
      <c r="F57" s="212" t="n">
        <f aca="false">ASS!$C$53*(1+ASS!$E$53)^(F6-ASS!$C$43)*F7/12</f>
        <v>0</v>
      </c>
      <c r="G57" s="212" t="n">
        <f aca="false">ASS!$C$53*(1+ASS!$E$53)^(G6-ASS!$C$43)*G7/12</f>
        <v>0</v>
      </c>
      <c r="H57" s="212" t="n">
        <f aca="false">ASS!$C$53*(1+ASS!$E$53)^(H6-ASS!$C$43)*H7/12</f>
        <v>0</v>
      </c>
      <c r="I57" s="212" t="n">
        <f aca="false">ASS!$C$53*(1+ASS!$E$53)^(I6-ASS!$C$43)*I7/12</f>
        <v>0</v>
      </c>
      <c r="J57" s="212" t="n">
        <f aca="false">ASS!$C$53*(1+ASS!$E$53)^(J6-ASS!$C$43)*J7/12</f>
        <v>0</v>
      </c>
      <c r="K57" s="212" t="n">
        <f aca="false">ASS!$C$53*(1+ASS!$E$53)^(K6-ASS!$C$43)*K7/12</f>
        <v>0</v>
      </c>
      <c r="L57" s="212" t="n">
        <f aca="false">ASS!$C$53*(1+ASS!$E$53)^(L6-ASS!$C$43)*L7/12</f>
        <v>0</v>
      </c>
      <c r="M57" s="212" t="n">
        <f aca="false">ASS!$C$53*(1+ASS!$E$53)^(M6-ASS!$C$43)*M7/12</f>
        <v>0</v>
      </c>
      <c r="N57" s="212" t="n">
        <f aca="false">ASS!$C$53*(1+ASS!$E$53)^(N6-ASS!$C$43)*N7/12</f>
        <v>0</v>
      </c>
      <c r="O57" s="212" t="n">
        <f aca="false">ASS!$C$53*(1+ASS!$E$53)^(O6-ASS!$C$43)*O7/12</f>
        <v>0</v>
      </c>
      <c r="P57" s="212" t="n">
        <f aca="false">ASS!$C$53*(1+ASS!$E$53)^(P6-ASS!$C$43)*P7/12</f>
        <v>0</v>
      </c>
      <c r="Q57" s="212" t="n">
        <f aca="false">ASS!$C$53*(1+ASS!$E$53)^(Q6-ASS!$C$43)*Q7/12</f>
        <v>0</v>
      </c>
      <c r="R57" s="212" t="n">
        <f aca="false">ASS!$C$53*(1+ASS!$E$53)^(R6-ASS!$C$43)*R7/12</f>
        <v>0</v>
      </c>
      <c r="S57" s="212" t="n">
        <f aca="false">ASS!$C$53*(1+ASS!$E$53)^(S6-ASS!$C$43)*S7/12</f>
        <v>0</v>
      </c>
      <c r="T57" s="212" t="n">
        <f aca="false">ASS!$C$53*(1+ASS!$E$53)^(T6-ASS!$C$43)*T7/12</f>
        <v>0</v>
      </c>
      <c r="U57" s="212" t="n">
        <f aca="false">ASS!$C$53*(1+ASS!$E$53)^(U6-ASS!$C$43)*U7/12</f>
        <v>0</v>
      </c>
      <c r="V57" s="212" t="n">
        <f aca="false">ASS!$C$53*(1+ASS!$E$53)^(V6-ASS!$C$43)*V7/12</f>
        <v>0</v>
      </c>
      <c r="W57" s="212" t="n">
        <f aca="false">ASS!$C$53*(1+ASS!$E$53)^(W6-ASS!$C$43)*W7/12</f>
        <v>0</v>
      </c>
      <c r="X57" s="212" t="n">
        <f aca="false">ASS!$C$53*(1+ASS!$E$53)^(X6-ASS!$C$43)*X7/12</f>
        <v>0</v>
      </c>
      <c r="Y57" s="212" t="n">
        <f aca="false">ASS!$C$53*(1+ASS!$E$53)^(Y6-ASS!$C$43)*Y7/12</f>
        <v>0</v>
      </c>
      <c r="Z57" s="212" t="n">
        <f aca="false">ASS!$C$53*(1+ASS!$E$53)^(Z6-ASS!$C$43)*Z7/12</f>
        <v>0</v>
      </c>
      <c r="AA57" s="212" t="n">
        <f aca="false">ASS!$C$53*(1+ASS!$E$53)^(AA6-ASS!$C$43)*AA7/12</f>
        <v>0</v>
      </c>
      <c r="AB57" s="212" t="n">
        <f aca="false">ASS!$C$53*(1+ASS!$E$53)^(AB6-ASS!$C$43)*AB7/12</f>
        <v>0</v>
      </c>
      <c r="AC57" s="212" t="n">
        <f aca="false">ASS!$C$53*(1+ASS!$E$53)^(AC6-ASS!$C$43)*AC7/12</f>
        <v>0</v>
      </c>
      <c r="AD57" s="213" t="n">
        <f aca="false">SUM(D57:AC57)</f>
        <v>0</v>
      </c>
    </row>
    <row r="58" customFormat="false" ht="12.75" hidden="false" customHeight="false" outlineLevel="0" collapsed="false">
      <c r="A58" s="29" t="str">
        <f aca="false">ASS!A54</f>
        <v>Other</v>
      </c>
      <c r="B58" s="30"/>
      <c r="C58" s="30"/>
      <c r="D58" s="212" t="n">
        <f aca="false">ASS!$C$54*(1+ASS!$E$54)^(D6-ASS!$C$43)*D7/12</f>
        <v>0</v>
      </c>
      <c r="E58" s="212" t="n">
        <f aca="false">ASS!$C$54*(1+ASS!$E$54)^(E6-ASS!$C$43)*E7/12</f>
        <v>0</v>
      </c>
      <c r="F58" s="212" t="n">
        <f aca="false">ASS!$C$54*(1+ASS!$E$54)^(F6-ASS!$C$43)*F7/12</f>
        <v>0</v>
      </c>
      <c r="G58" s="212" t="n">
        <f aca="false">ASS!$C$54*(1+ASS!$E$54)^(G6-ASS!$C$43)*G7/12</f>
        <v>0</v>
      </c>
      <c r="H58" s="212" t="n">
        <f aca="false">ASS!$C$54*(1+ASS!$E$54)^(H6-ASS!$C$43)*H7/12</f>
        <v>0</v>
      </c>
      <c r="I58" s="212" t="n">
        <f aca="false">ASS!$C$54*(1+ASS!$E$54)^(I6-ASS!$C$43)*I7/12</f>
        <v>0</v>
      </c>
      <c r="J58" s="212" t="n">
        <f aca="false">ASS!$C$54*(1+ASS!$E$54)^(J6-ASS!$C$43)*J7/12</f>
        <v>0</v>
      </c>
      <c r="K58" s="212" t="n">
        <f aca="false">ASS!$C$54*(1+ASS!$E$54)^(K6-ASS!$C$43)*K7/12</f>
        <v>0</v>
      </c>
      <c r="L58" s="212" t="n">
        <f aca="false">ASS!$C$54*(1+ASS!$E$54)^(L6-ASS!$C$43)*L7/12</f>
        <v>0</v>
      </c>
      <c r="M58" s="212" t="n">
        <f aca="false">ASS!$C$54*(1+ASS!$E$54)^(M6-ASS!$C$43)*M7/12</f>
        <v>0</v>
      </c>
      <c r="N58" s="212" t="n">
        <f aca="false">ASS!$C$54*(1+ASS!$E$54)^(N6-ASS!$C$43)*N7/12</f>
        <v>0</v>
      </c>
      <c r="O58" s="212" t="n">
        <f aca="false">ASS!$C$54*(1+ASS!$E$54)^(O6-ASS!$C$43)*O7/12</f>
        <v>0</v>
      </c>
      <c r="P58" s="212" t="n">
        <f aca="false">ASS!$C$54*(1+ASS!$E$54)^(P6-ASS!$C$43)*P7/12</f>
        <v>0</v>
      </c>
      <c r="Q58" s="212" t="n">
        <f aca="false">ASS!$C$54*(1+ASS!$E$54)^(Q6-ASS!$C$43)*Q7/12</f>
        <v>0</v>
      </c>
      <c r="R58" s="212" t="n">
        <f aca="false">ASS!$C$54*(1+ASS!$E$54)^(R6-ASS!$C$43)*R7/12</f>
        <v>0</v>
      </c>
      <c r="S58" s="212" t="n">
        <f aca="false">ASS!$C$54*(1+ASS!$E$54)^(S6-ASS!$C$43)*S7/12</f>
        <v>0</v>
      </c>
      <c r="T58" s="212" t="n">
        <f aca="false">ASS!$C$54*(1+ASS!$E$54)^(T6-ASS!$C$43)*T7/12</f>
        <v>0</v>
      </c>
      <c r="U58" s="212" t="n">
        <f aca="false">ASS!$C$54*(1+ASS!$E$54)^(U6-ASS!$C$43)*U7/12</f>
        <v>0</v>
      </c>
      <c r="V58" s="212" t="n">
        <f aca="false">ASS!$C$54*(1+ASS!$E$54)^(V6-ASS!$C$43)*V7/12</f>
        <v>0</v>
      </c>
      <c r="W58" s="212" t="n">
        <f aca="false">ASS!$C$54*(1+ASS!$E$54)^(W6-ASS!$C$43)*W7/12</f>
        <v>0</v>
      </c>
      <c r="X58" s="212" t="n">
        <f aca="false">ASS!$C$54*(1+ASS!$E$54)^(X6-ASS!$C$43)*X7/12</f>
        <v>0</v>
      </c>
      <c r="Y58" s="212" t="n">
        <f aca="false">ASS!$C$54*(1+ASS!$E$54)^(Y6-ASS!$C$43)*Y7/12</f>
        <v>0</v>
      </c>
      <c r="Z58" s="212" t="n">
        <f aca="false">ASS!$C$54*(1+ASS!$E$54)^(Z6-ASS!$C$43)*Z7/12</f>
        <v>0</v>
      </c>
      <c r="AA58" s="212" t="n">
        <f aca="false">ASS!$C$54*(1+ASS!$E$54)^(AA6-ASS!$C$43)*AA7/12</f>
        <v>0</v>
      </c>
      <c r="AB58" s="212" t="n">
        <f aca="false">ASS!$C$54*(1+ASS!$E$54)^(AB6-ASS!$C$43)*AB7/12</f>
        <v>0</v>
      </c>
      <c r="AC58" s="212" t="n">
        <f aca="false">ASS!$C$54*(1+ASS!$E$54)^(AC6-ASS!$C$43)*AC7/12</f>
        <v>0</v>
      </c>
      <c r="AD58" s="213" t="n">
        <f aca="false">SUM(D58:AC58)</f>
        <v>0</v>
      </c>
    </row>
    <row r="59" customFormat="false" ht="12.75" hidden="false" customHeight="false" outlineLevel="0" collapsed="false">
      <c r="A59" s="29" t="str">
        <f aca="false">ASS!A55</f>
        <v>Property Tax</v>
      </c>
      <c r="B59" s="30"/>
      <c r="C59" s="30"/>
      <c r="D59" s="215" t="n">
        <f aca="false">ASS!$C$55*(1+ASS!$E$55)^(D6-ASS!$C$43)*D7/12</f>
        <v>0</v>
      </c>
      <c r="E59" s="215" t="n">
        <f aca="false">ASS!$C$55*(1+ASS!$E$55)^(E6-ASS!$C$43)*E7/12</f>
        <v>0</v>
      </c>
      <c r="F59" s="215" t="n">
        <f aca="false">ASS!$C$55*(1+ASS!$E$55)^(F6-ASS!$C$43)*F7/12</f>
        <v>0</v>
      </c>
      <c r="G59" s="215" t="n">
        <f aca="false">ASS!$C$55*(1+ASS!$E$55)^(G6-ASS!$C$43)*G7/12</f>
        <v>0</v>
      </c>
      <c r="H59" s="215" t="n">
        <f aca="false">ASS!$C$55*(1+ASS!$E$55)^(H6-ASS!$C$43)*H7/12</f>
        <v>0</v>
      </c>
      <c r="I59" s="215" t="n">
        <f aca="false">ASS!$C$55*(1+ASS!$E$55)^(I6-ASS!$C$43)*I7/12</f>
        <v>0</v>
      </c>
      <c r="J59" s="215" t="n">
        <f aca="false">ASS!$C$55*(1+ASS!$E$55)^(J6-ASS!$C$43)*J7/12</f>
        <v>0</v>
      </c>
      <c r="K59" s="215" t="n">
        <f aca="false">ASS!$C$55*(1+ASS!$E$55)^(K6-ASS!$C$43)*K7/12</f>
        <v>0</v>
      </c>
      <c r="L59" s="215" t="n">
        <f aca="false">ASS!$C$55*(1+ASS!$E$55)^(L6-ASS!$C$43)*L7/12</f>
        <v>0</v>
      </c>
      <c r="M59" s="215" t="n">
        <f aca="false">ASS!$C$55*(1+ASS!$E$55)^(M6-ASS!$C$43)*M7/12</f>
        <v>0</v>
      </c>
      <c r="N59" s="215" t="n">
        <f aca="false">ASS!$C$55*(1+ASS!$E$55)^(N6-ASS!$C$43)*N7/12</f>
        <v>0</v>
      </c>
      <c r="O59" s="215" t="n">
        <f aca="false">ASS!$C$55*(1+ASS!$E$55)^(O6-ASS!$C$43)*O7/12</f>
        <v>0</v>
      </c>
      <c r="P59" s="215" t="n">
        <f aca="false">ASS!$C$55*(1+ASS!$E$55)^(P6-ASS!$C$43)*P7/12</f>
        <v>0</v>
      </c>
      <c r="Q59" s="215" t="n">
        <f aca="false">ASS!$C$55*(1+ASS!$E$55)^(Q6-ASS!$C$43)*Q7/12</f>
        <v>0</v>
      </c>
      <c r="R59" s="215" t="n">
        <f aca="false">ASS!$C$55*(1+ASS!$E$55)^(R6-ASS!$C$43)*R7/12</f>
        <v>0</v>
      </c>
      <c r="S59" s="215" t="n">
        <f aca="false">ASS!$C$55*(1+ASS!$E$55)^(S6-ASS!$C$43)*S7/12</f>
        <v>0</v>
      </c>
      <c r="T59" s="215" t="n">
        <f aca="false">ASS!$C$55*(1+ASS!$E$55)^(T6-ASS!$C$43)*T7/12</f>
        <v>0</v>
      </c>
      <c r="U59" s="215" t="n">
        <f aca="false">ASS!$C$55*(1+ASS!$E$55)^(U6-ASS!$C$43)*U7/12</f>
        <v>0</v>
      </c>
      <c r="V59" s="215" t="n">
        <f aca="false">ASS!$C$55*(1+ASS!$E$55)^(V6-ASS!$C$43)*V7/12</f>
        <v>0</v>
      </c>
      <c r="W59" s="215" t="n">
        <f aca="false">ASS!$C$55*(1+ASS!$E$55)^(W6-ASS!$C$43)*W7/12</f>
        <v>0</v>
      </c>
      <c r="X59" s="215" t="n">
        <f aca="false">ASS!$C$55*(1+ASS!$E$55)^(X6-ASS!$C$43)*X7/12</f>
        <v>0</v>
      </c>
      <c r="Y59" s="215" t="n">
        <f aca="false">ASS!$C$55*(1+ASS!$E$55)^(Y6-ASS!$C$43)*Y7/12</f>
        <v>0</v>
      </c>
      <c r="Z59" s="215" t="n">
        <f aca="false">ASS!$C$55*(1+ASS!$E$55)^(Z6-ASS!$C$43)*Z7/12</f>
        <v>0</v>
      </c>
      <c r="AA59" s="215" t="n">
        <f aca="false">ASS!$C$55*(1+ASS!$E$55)^(AA6-ASS!$C$43)*AA7/12</f>
        <v>0</v>
      </c>
      <c r="AB59" s="215" t="n">
        <f aca="false">ASS!$C$55*(1+ASS!$E$55)^(AB6-ASS!$C$43)*AB7/12</f>
        <v>0</v>
      </c>
      <c r="AC59" s="215" t="n">
        <f aca="false">ASS!$C$55*(1+ASS!$E$55)^(AC6-ASS!$C$43)*AC7/12</f>
        <v>0</v>
      </c>
      <c r="AD59" s="216" t="n">
        <f aca="false">SUM(D59:AC59)</f>
        <v>0</v>
      </c>
    </row>
    <row r="60" customFormat="false" ht="12.75" hidden="false" customHeight="false" outlineLevel="0" collapsed="false">
      <c r="A60" s="29" t="s">
        <v>184</v>
      </c>
      <c r="B60" s="30"/>
      <c r="C60" s="30"/>
      <c r="D60" s="212" t="n">
        <f aca="false">SUM(D48:D59)</f>
        <v>0</v>
      </c>
      <c r="E60" s="212" t="n">
        <f aca="false">SUM(E48:E59)</f>
        <v>0</v>
      </c>
      <c r="F60" s="212" t="n">
        <f aca="false">SUM(F48:F59)</f>
        <v>0</v>
      </c>
      <c r="G60" s="212" t="n">
        <f aca="false">SUM(G48:G59)</f>
        <v>0</v>
      </c>
      <c r="H60" s="212" t="n">
        <f aca="false">SUM(H48:H59)</f>
        <v>0</v>
      </c>
      <c r="I60" s="212" t="n">
        <f aca="false">SUM(I48:I59)</f>
        <v>0</v>
      </c>
      <c r="J60" s="212" t="n">
        <f aca="false">SUM(J48:J59)</f>
        <v>0</v>
      </c>
      <c r="K60" s="212" t="n">
        <f aca="false">SUM(K48:K59)</f>
        <v>0</v>
      </c>
      <c r="L60" s="212" t="n">
        <f aca="false">SUM(L48:L59)</f>
        <v>0</v>
      </c>
      <c r="M60" s="212" t="n">
        <f aca="false">SUM(M48:M59)</f>
        <v>0</v>
      </c>
      <c r="N60" s="212" t="n">
        <f aca="false">SUM(N48:N59)</f>
        <v>0</v>
      </c>
      <c r="O60" s="212" t="n">
        <f aca="false">SUM(O48:O59)</f>
        <v>0</v>
      </c>
      <c r="P60" s="212" t="n">
        <f aca="false">SUM(P48:P59)</f>
        <v>0</v>
      </c>
      <c r="Q60" s="212" t="n">
        <f aca="false">SUM(Q48:Q59)</f>
        <v>0</v>
      </c>
      <c r="R60" s="212" t="n">
        <f aca="false">SUM(R48:R59)</f>
        <v>0</v>
      </c>
      <c r="S60" s="212" t="n">
        <f aca="false">SUM(S48:S59)</f>
        <v>0</v>
      </c>
      <c r="T60" s="212" t="n">
        <f aca="false">SUM(T48:T59)</f>
        <v>0</v>
      </c>
      <c r="U60" s="212" t="n">
        <f aca="false">SUM(U48:U59)</f>
        <v>0</v>
      </c>
      <c r="V60" s="212" t="n">
        <f aca="false">SUM(V48:V59)</f>
        <v>0</v>
      </c>
      <c r="W60" s="212" t="n">
        <f aca="false">SUM(W48:W59)</f>
        <v>0</v>
      </c>
      <c r="X60" s="212" t="n">
        <f aca="false">SUM(X48:X59)</f>
        <v>0</v>
      </c>
      <c r="Y60" s="212" t="n">
        <f aca="false">SUM(Y48:Y59)</f>
        <v>0</v>
      </c>
      <c r="Z60" s="212" t="n">
        <f aca="false">SUM(Z48:Z59)</f>
        <v>0</v>
      </c>
      <c r="AA60" s="212" t="n">
        <f aca="false">SUM(AA48:AA59)</f>
        <v>0</v>
      </c>
      <c r="AB60" s="212" t="n">
        <f aca="false">SUM(AB48:AB59)</f>
        <v>0</v>
      </c>
      <c r="AC60" s="212" t="n">
        <f aca="false">SUM(AC48:AC59)</f>
        <v>0</v>
      </c>
      <c r="AD60" s="213" t="n">
        <f aca="false">SUM(D60:AC60)</f>
        <v>0</v>
      </c>
    </row>
    <row r="61" customFormat="false" ht="12.75" hidden="false" customHeight="false" outlineLevel="0" collapsed="false">
      <c r="A61" s="29"/>
      <c r="B61" s="30"/>
      <c r="C61" s="30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3"/>
    </row>
    <row r="62" customFormat="false" ht="12.75" hidden="false" customHeight="false" outlineLevel="0" collapsed="false">
      <c r="A62" s="101" t="s">
        <v>232</v>
      </c>
      <c r="B62" s="30"/>
      <c r="C62" s="30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3"/>
    </row>
    <row r="63" customFormat="false" ht="12.75" hidden="false" customHeight="false" outlineLevel="0" collapsed="false">
      <c r="A63" s="244" t="str">
        <f aca="false">ASS!A59</f>
        <v>Power Cost</v>
      </c>
      <c r="B63" s="30"/>
      <c r="C63" s="30"/>
      <c r="D63" s="245" t="n">
        <f aca="false">D42*D10/1000</f>
        <v>80439.065</v>
      </c>
      <c r="E63" s="245" t="n">
        <f aca="false">E42*E10/1000</f>
        <v>137229.78</v>
      </c>
      <c r="F63" s="245" t="n">
        <f aca="false">F42*F10/1000</f>
        <v>137396.22</v>
      </c>
      <c r="G63" s="245" t="n">
        <f aca="false">G42*G10/1000</f>
        <v>137895.54</v>
      </c>
      <c r="H63" s="245" t="n">
        <f aca="false">H42*H10/1000</f>
        <v>138810.96</v>
      </c>
      <c r="I63" s="245" t="n">
        <f aca="false">I42*I10/1000</f>
        <v>139601.55</v>
      </c>
      <c r="J63" s="245" t="n">
        <f aca="false">J42*J10/1000</f>
        <v>141474</v>
      </c>
      <c r="K63" s="245" t="n">
        <f aca="false">K42*K10/1000</f>
        <v>142805.52</v>
      </c>
      <c r="L63" s="245" t="n">
        <f aca="false">L42*L10/1000</f>
        <v>144428.31</v>
      </c>
      <c r="M63" s="245" t="n">
        <f aca="false">M42*M10/1000</f>
        <v>146259.15</v>
      </c>
      <c r="N63" s="245" t="n">
        <f aca="false">N42*N10/1000</f>
        <v>148048.38</v>
      </c>
      <c r="O63" s="245" t="n">
        <f aca="false">O42*O10/1000</f>
        <v>149629.56</v>
      </c>
      <c r="P63" s="245" t="n">
        <f aca="false">P42*P10/1000</f>
        <v>151918.11</v>
      </c>
      <c r="Q63" s="245" t="n">
        <f aca="false">Q42*Q10/1000</f>
        <v>152999.97</v>
      </c>
      <c r="R63" s="245" t="n">
        <f aca="false">R42*R10/1000</f>
        <v>154747.59</v>
      </c>
      <c r="S63" s="245" t="e">
        <f aca="false">S42*S10/1000</f>
        <v>#VALUE!</v>
      </c>
      <c r="T63" s="245" t="n">
        <f aca="false">T42*T10/1000</f>
        <v>0</v>
      </c>
      <c r="U63" s="245" t="n">
        <f aca="false">U42*U10/1000</f>
        <v>0</v>
      </c>
      <c r="V63" s="245" t="n">
        <f aca="false">V42*V10/1000</f>
        <v>0</v>
      </c>
      <c r="W63" s="245" t="n">
        <f aca="false">W42*W10/1000</f>
        <v>0</v>
      </c>
      <c r="X63" s="245" t="n">
        <f aca="false">X42*X10/1000</f>
        <v>0</v>
      </c>
      <c r="Y63" s="245" t="n">
        <f aca="false">Y42*Y10/1000</f>
        <v>0</v>
      </c>
      <c r="Z63" s="245" t="n">
        <f aca="false">Z42*Z10/1000</f>
        <v>0</v>
      </c>
      <c r="AA63" s="245" t="n">
        <f aca="false">AA42*AA10/1000</f>
        <v>0</v>
      </c>
      <c r="AB63" s="245" t="n">
        <f aca="false">AB42*AB10/1000</f>
        <v>0</v>
      </c>
      <c r="AC63" s="245" t="n">
        <f aca="false">AC42*AC10/1000</f>
        <v>0</v>
      </c>
      <c r="AD63" s="213" t="e">
        <f aca="false">SUM(D63:AC63)</f>
        <v>#VALUE!</v>
      </c>
    </row>
    <row r="64" customFormat="false" ht="12.75" hidden="false" customHeight="false" outlineLevel="0" collapsed="false">
      <c r="A64" s="29" t="str">
        <f aca="false">ASS!A60</f>
        <v>Maintenance Reserve</v>
      </c>
      <c r="B64" s="30"/>
      <c r="C64" s="212"/>
      <c r="D64" s="212" t="n">
        <f aca="false">ASS!$C$59*(1+ASS!$E$59)^(D6-ASS!$C$43)*D7/12</f>
        <v>0</v>
      </c>
      <c r="E64" s="212" t="n">
        <f aca="false">ASS!$C$59*(1+ASS!$E$59)^(E6-ASS!$C$43)*E7/12</f>
        <v>0</v>
      </c>
      <c r="F64" s="212" t="n">
        <f aca="false">ASS!$C$59*(1+ASS!$E$59)^(F6-ASS!$C$43)*F7/12</f>
        <v>0</v>
      </c>
      <c r="G64" s="212" t="n">
        <f aca="false">ASS!$C$59*(1+ASS!$E$59)^(G6-ASS!$C$43)*G7/12</f>
        <v>0</v>
      </c>
      <c r="H64" s="212" t="n">
        <f aca="false">ASS!$C$59*(1+ASS!$E$59)^(H6-ASS!$C$43)*H7/12</f>
        <v>0</v>
      </c>
      <c r="I64" s="212" t="n">
        <f aca="false">ASS!$C$59*(1+ASS!$E$59)^(I6-ASS!$C$43)*I7/12</f>
        <v>0</v>
      </c>
      <c r="J64" s="212" t="n">
        <f aca="false">ASS!$C$59*(1+ASS!$E$59)^(J6-ASS!$C$43)*J7/12</f>
        <v>0</v>
      </c>
      <c r="K64" s="212" t="n">
        <f aca="false">ASS!$C$59*(1+ASS!$E$59)^(K6-ASS!$C$43)*K7/12</f>
        <v>0</v>
      </c>
      <c r="L64" s="212" t="n">
        <f aca="false">ASS!$C$59*(1+ASS!$E$59)^(L6-ASS!$C$43)*L7/12</f>
        <v>0</v>
      </c>
      <c r="M64" s="212" t="n">
        <f aca="false">ASS!$C$59*(1+ASS!$E$59)^(M6-ASS!$C$43)*M7/12</f>
        <v>0</v>
      </c>
      <c r="N64" s="212" t="n">
        <f aca="false">ASS!$C$59*(1+ASS!$E$59)^(N6-ASS!$C$43)*N7/12</f>
        <v>0</v>
      </c>
      <c r="O64" s="212" t="n">
        <f aca="false">ASS!$C$59*(1+ASS!$E$59)^(O6-ASS!$C$43)*O7/12</f>
        <v>0</v>
      </c>
      <c r="P64" s="212" t="n">
        <f aca="false">ASS!$C$59*(1+ASS!$E$59)^(P6-ASS!$C$43)*P7/12</f>
        <v>0</v>
      </c>
      <c r="Q64" s="212" t="n">
        <f aca="false">ASS!$C$59*(1+ASS!$E$59)^(Q6-ASS!$C$43)*Q7/12</f>
        <v>0</v>
      </c>
      <c r="R64" s="212" t="n">
        <f aca="false">ASS!$C$59*(1+ASS!$E$59)^(R6-ASS!$C$43)*R7/12</f>
        <v>0</v>
      </c>
      <c r="S64" s="212" t="n">
        <f aca="false">ASS!$C$59*(1+ASS!$E$59)^(S6-ASS!$C$43)*S7/12</f>
        <v>0</v>
      </c>
      <c r="T64" s="212" t="n">
        <f aca="false">ASS!$C$59*(1+ASS!$E$59)^(T6-ASS!$C$43)*T7/12</f>
        <v>0</v>
      </c>
      <c r="U64" s="212" t="n">
        <f aca="false">ASS!$C$59*(1+ASS!$E$59)^(U6-ASS!$C$43)*U7/12</f>
        <v>0</v>
      </c>
      <c r="V64" s="212" t="n">
        <f aca="false">ASS!$C$59*(1+ASS!$E$59)^(V6-ASS!$C$43)*V7/12</f>
        <v>0</v>
      </c>
      <c r="W64" s="212" t="n">
        <f aca="false">ASS!$C$59*(1+ASS!$E$59)^(W6-ASS!$C$43)*W7/12</f>
        <v>0</v>
      </c>
      <c r="X64" s="212" t="n">
        <f aca="false">ASS!$C$59*(1+ASS!$E$59)^(X6-ASS!$C$43)*X7/12</f>
        <v>0</v>
      </c>
      <c r="Y64" s="212" t="n">
        <f aca="false">ASS!$C$59*(1+ASS!$E$59)^(Y6-ASS!$C$43)*Y7/12</f>
        <v>0</v>
      </c>
      <c r="Z64" s="212" t="n">
        <f aca="false">ASS!$C$59*(1+ASS!$E$59)^(Z6-ASS!$C$43)*Z7/12</f>
        <v>0</v>
      </c>
      <c r="AA64" s="212" t="n">
        <f aca="false">ASS!$C$59*(1+ASS!$E$59)^(AA6-ASS!$C$43)*AA7/12</f>
        <v>0</v>
      </c>
      <c r="AB64" s="212" t="n">
        <f aca="false">ASS!$C$59*(1+ASS!$E$59)^(AB6-ASS!$C$43)*AB7/12</f>
        <v>0</v>
      </c>
      <c r="AC64" s="212" t="n">
        <f aca="false">ASS!$C$59*(1+ASS!$E$59)^(AC6-ASS!$C$43)*AC7/12</f>
        <v>0</v>
      </c>
      <c r="AD64" s="213" t="n">
        <f aca="false">SUM(D64:AC64)</f>
        <v>0</v>
      </c>
    </row>
    <row r="65" customFormat="false" ht="12.75" hidden="false" customHeight="false" outlineLevel="0" collapsed="false">
      <c r="A65" s="29" t="str">
        <f aca="false">ASS!A61</f>
        <v>Maintenance Excluding (Major Maint)</v>
      </c>
      <c r="B65" s="30"/>
      <c r="C65" s="30"/>
      <c r="D65" s="212" t="n">
        <f aca="false">ASS!$C$60*(1+ASS!$E$60)^(D6-ASS!$C$43)*D7/12</f>
        <v>380.8</v>
      </c>
      <c r="E65" s="212" t="n">
        <f aca="false">ASS!$C$60*(1+ASS!$E$60)^(E6-ASS!$C$43)*E7/12</f>
        <v>665.856</v>
      </c>
      <c r="F65" s="212" t="n">
        <f aca="false">ASS!$C$60*(1+ASS!$E$60)^(F6-ASS!$C$43)*F7/12</f>
        <v>679.17312</v>
      </c>
      <c r="G65" s="212" t="n">
        <f aca="false">ASS!$C$60*(1+ASS!$E$60)^(G6-ASS!$C$43)*G7/12</f>
        <v>692.7565824</v>
      </c>
      <c r="H65" s="212" t="n">
        <f aca="false">ASS!$C$60*(1+ASS!$E$60)^(H6-ASS!$C$43)*H7/12</f>
        <v>706.611714048</v>
      </c>
      <c r="I65" s="212" t="n">
        <f aca="false">ASS!$C$60*(1+ASS!$E$60)^(I6-ASS!$C$43)*I7/12</f>
        <v>720.74394832896</v>
      </c>
      <c r="J65" s="212" t="n">
        <f aca="false">ASS!$C$60*(1+ASS!$E$60)^(J6-ASS!$C$43)*J7/12</f>
        <v>735.158827295539</v>
      </c>
      <c r="K65" s="212" t="n">
        <f aca="false">ASS!$C$60*(1+ASS!$E$60)^(K6-ASS!$C$43)*K7/12</f>
        <v>749.86200384145</v>
      </c>
      <c r="L65" s="212" t="n">
        <f aca="false">ASS!$C$60*(1+ASS!$E$60)^(L6-ASS!$C$43)*L7/12</f>
        <v>764.859243918279</v>
      </c>
      <c r="M65" s="212" t="n">
        <f aca="false">ASS!$C$60*(1+ASS!$E$60)^(M6-ASS!$C$43)*M7/12</f>
        <v>780.156428796645</v>
      </c>
      <c r="N65" s="212" t="n">
        <f aca="false">ASS!$C$60*(1+ASS!$E$60)^(N6-ASS!$C$43)*N7/12</f>
        <v>795.759557372578</v>
      </c>
      <c r="O65" s="212" t="n">
        <f aca="false">ASS!$C$60*(1+ASS!$E$60)^(O6-ASS!$C$43)*O7/12</f>
        <v>811.674748520029</v>
      </c>
      <c r="P65" s="212" t="n">
        <f aca="false">ASS!$C$60*(1+ASS!$E$60)^(P6-ASS!$C$43)*P7/12</f>
        <v>827.90824349043</v>
      </c>
      <c r="Q65" s="212" t="n">
        <f aca="false">ASS!$C$60*(1+ASS!$E$60)^(Q6-ASS!$C$43)*Q7/12</f>
        <v>844.466408360238</v>
      </c>
      <c r="R65" s="212" t="n">
        <f aca="false">ASS!$C$60*(1+ASS!$E$60)^(R6-ASS!$C$43)*R7/12</f>
        <v>861.355736527443</v>
      </c>
      <c r="S65" s="212" t="n">
        <f aca="false">ASS!$C$60*(1+ASS!$E$60)^(S6-ASS!$C$43)*S7/12</f>
        <v>878.582851257992</v>
      </c>
      <c r="T65" s="212" t="n">
        <f aca="false">ASS!$C$60*(1+ASS!$E$60)^(T6-ASS!$C$43)*T7/12</f>
        <v>896.154508283152</v>
      </c>
      <c r="U65" s="212" t="n">
        <f aca="false">ASS!$C$60*(1+ASS!$E$60)^(U6-ASS!$C$43)*U7/12</f>
        <v>914.077598448815</v>
      </c>
      <c r="V65" s="212" t="n">
        <f aca="false">ASS!$C$60*(1+ASS!$E$60)^(V6-ASS!$C$43)*V7/12</f>
        <v>932.359150417791</v>
      </c>
      <c r="W65" s="212" t="n">
        <f aca="false">ASS!$C$60*(1+ASS!$E$60)^(W6-ASS!$C$43)*W7/12</f>
        <v>951.006333426147</v>
      </c>
      <c r="X65" s="212" t="n">
        <f aca="false">ASS!$C$60*(1+ASS!$E$60)^(X6-ASS!$C$43)*X7/12</f>
        <v>970.02646009467</v>
      </c>
      <c r="Y65" s="212" t="n">
        <f aca="false">ASS!$C$60*(1+ASS!$E$60)^(Y6-ASS!$C$43)*Y7/12</f>
        <v>989.426989296563</v>
      </c>
      <c r="Z65" s="212" t="n">
        <f aca="false">ASS!$C$60*(1+ASS!$E$60)^(Z6-ASS!$C$43)*Z7/12</f>
        <v>1009.21552908249</v>
      </c>
      <c r="AA65" s="212" t="n">
        <f aca="false">ASS!$C$60*(1+ASS!$E$60)^(AA6-ASS!$C$43)*AA7/12</f>
        <v>1029.39983966414</v>
      </c>
      <c r="AB65" s="212" t="n">
        <f aca="false">ASS!$C$60*(1+ASS!$E$60)^(AB6-ASS!$C$43)*AB7/12</f>
        <v>1049.98783645743</v>
      </c>
      <c r="AC65" s="212" t="n">
        <f aca="false">ASS!$C$60*(1+ASS!$E$60)^(AC6-ASS!$C$43)*AC7/12</f>
        <v>0</v>
      </c>
      <c r="AD65" s="213" t="n">
        <f aca="false">SUM(D65:AC65)</f>
        <v>20637.3796593288</v>
      </c>
    </row>
    <row r="66" customFormat="false" ht="12.75" hidden="false" customHeight="false" outlineLevel="0" collapsed="false">
      <c r="A66" s="29" t="str">
        <f aca="false">ASS!A62</f>
        <v>Other</v>
      </c>
      <c r="B66" s="30"/>
      <c r="C66" s="30"/>
      <c r="D66" s="212" t="n">
        <f aca="false">ASS!$C$61*(1+ASS!$E$61)^(D6-ASS!$C$43)*D7/12</f>
        <v>0</v>
      </c>
      <c r="E66" s="212" t="n">
        <f aca="false">ASS!$C$61*(1+ASS!$E$61)^(E6-ASS!$C$43)*E7/12</f>
        <v>0</v>
      </c>
      <c r="F66" s="212" t="n">
        <f aca="false">ASS!$C$61*(1+ASS!$E$61)^(F6-ASS!$C$43)*F7/12</f>
        <v>0</v>
      </c>
      <c r="G66" s="212" t="n">
        <f aca="false">ASS!$C$61*(1+ASS!$E$61)^(G6-ASS!$C$43)*G7/12</f>
        <v>0</v>
      </c>
      <c r="H66" s="212" t="n">
        <f aca="false">ASS!$C$61*(1+ASS!$E$61)^(H6-ASS!$C$43)*H7/12</f>
        <v>0</v>
      </c>
      <c r="I66" s="212" t="n">
        <f aca="false">ASS!$C$61*(1+ASS!$E$61)^(I6-ASS!$C$43)*I7/12</f>
        <v>0</v>
      </c>
      <c r="J66" s="212" t="n">
        <f aca="false">ASS!$C$61*(1+ASS!$E$61)^(J6-ASS!$C$43)*J7/12</f>
        <v>0</v>
      </c>
      <c r="K66" s="212" t="n">
        <f aca="false">ASS!$C$61*(1+ASS!$E$61)^(K6-ASS!$C$43)*K7/12</f>
        <v>0</v>
      </c>
      <c r="L66" s="212" t="n">
        <f aca="false">ASS!$C$61*(1+ASS!$E$61)^(L6-ASS!$C$43)*L7/12</f>
        <v>0</v>
      </c>
      <c r="M66" s="212" t="n">
        <f aca="false">ASS!$C$61*(1+ASS!$E$61)^(M6-ASS!$C$43)*M7/12</f>
        <v>0</v>
      </c>
      <c r="N66" s="212" t="n">
        <f aca="false">ASS!$C$61*(1+ASS!$E$61)^(N6-ASS!$C$43)*N7/12</f>
        <v>0</v>
      </c>
      <c r="O66" s="212" t="n">
        <f aca="false">ASS!$C$61*(1+ASS!$E$61)^(O6-ASS!$C$43)*O7/12</f>
        <v>0</v>
      </c>
      <c r="P66" s="212" t="n">
        <f aca="false">ASS!$C$61*(1+ASS!$E$61)^(P6-ASS!$C$43)*P7/12</f>
        <v>0</v>
      </c>
      <c r="Q66" s="212" t="n">
        <f aca="false">ASS!$C$61*(1+ASS!$E$61)^(Q6-ASS!$C$43)*Q7/12</f>
        <v>0</v>
      </c>
      <c r="R66" s="212" t="n">
        <f aca="false">ASS!$C$61*(1+ASS!$E$61)^(R6-ASS!$C$43)*R7/12</f>
        <v>0</v>
      </c>
      <c r="S66" s="212" t="n">
        <f aca="false">ASS!$C$61*(1+ASS!$E$61)^(S6-ASS!$C$43)*S7/12</f>
        <v>0</v>
      </c>
      <c r="T66" s="212" t="n">
        <f aca="false">ASS!$C$61*(1+ASS!$E$61)^(T6-ASS!$C$43)*T7/12</f>
        <v>0</v>
      </c>
      <c r="U66" s="212" t="n">
        <f aca="false">ASS!$C$61*(1+ASS!$E$61)^(U6-ASS!$C$43)*U7/12</f>
        <v>0</v>
      </c>
      <c r="V66" s="212" t="n">
        <f aca="false">ASS!$C$61*(1+ASS!$E$61)^(V6-ASS!$C$43)*V7/12</f>
        <v>0</v>
      </c>
      <c r="W66" s="212" t="n">
        <f aca="false">ASS!$C$61*(1+ASS!$E$61)^(W6-ASS!$C$43)*W7/12</f>
        <v>0</v>
      </c>
      <c r="X66" s="212" t="n">
        <f aca="false">ASS!$C$61*(1+ASS!$E$61)^(X6-ASS!$C$43)*X7/12</f>
        <v>0</v>
      </c>
      <c r="Y66" s="212" t="n">
        <f aca="false">ASS!$C$61*(1+ASS!$E$61)^(Y6-ASS!$C$43)*Y7/12</f>
        <v>0</v>
      </c>
      <c r="Z66" s="212" t="n">
        <f aca="false">ASS!$C$61*(1+ASS!$E$61)^(Z6-ASS!$C$43)*Z7/12</f>
        <v>0</v>
      </c>
      <c r="AA66" s="212" t="n">
        <f aca="false">ASS!$C$61*(1+ASS!$E$61)^(AA6-ASS!$C$43)*AA7/12</f>
        <v>0</v>
      </c>
      <c r="AB66" s="212" t="n">
        <f aca="false">ASS!$C$61*(1+ASS!$E$61)^(AB6-ASS!$C$43)*AB7/12</f>
        <v>0</v>
      </c>
      <c r="AC66" s="212" t="n">
        <f aca="false">ASS!$C$61*(1+ASS!$E$61)^(AC6-ASS!$C$43)*AC7/12</f>
        <v>0</v>
      </c>
      <c r="AD66" s="213" t="n">
        <f aca="false">SUM(D66:AC66)</f>
        <v>0</v>
      </c>
    </row>
    <row r="67" customFormat="false" ht="12.75" hidden="false" customHeight="false" outlineLevel="0" collapsed="false">
      <c r="A67" s="29" t="str">
        <f aca="false">ASS!A63</f>
        <v>Other</v>
      </c>
      <c r="B67" s="30"/>
      <c r="C67" s="30"/>
      <c r="D67" s="215" t="n">
        <f aca="false">ASS!$C$62*(1+ASS!$E$62)^(D6-ASS!$C$43)*D7/12</f>
        <v>0</v>
      </c>
      <c r="E67" s="215" t="n">
        <f aca="false">ASS!$C$62*(1+ASS!$E$62)^(E6-ASS!$C$43)*E7/12</f>
        <v>0</v>
      </c>
      <c r="F67" s="215" t="n">
        <f aca="false">ASS!$C$62*(1+ASS!$E$62)^(F6-ASS!$C$43)*F7/12</f>
        <v>0</v>
      </c>
      <c r="G67" s="215" t="n">
        <f aca="false">ASS!$C$62*(1+ASS!$E$62)^(G6-ASS!$C$43)*G7/12</f>
        <v>0</v>
      </c>
      <c r="H67" s="215" t="n">
        <f aca="false">ASS!$C$62*(1+ASS!$E$62)^(H6-ASS!$C$43)*H7/12</f>
        <v>0</v>
      </c>
      <c r="I67" s="215" t="n">
        <f aca="false">ASS!$C$62*(1+ASS!$E$62)^(I6-ASS!$C$43)*I7/12</f>
        <v>0</v>
      </c>
      <c r="J67" s="215" t="n">
        <f aca="false">ASS!$C$62*(1+ASS!$E$62)^(J6-ASS!$C$43)*J7/12</f>
        <v>0</v>
      </c>
      <c r="K67" s="215" t="n">
        <f aca="false">ASS!$C$62*(1+ASS!$E$62)^(K6-ASS!$C$43)*K7/12</f>
        <v>0</v>
      </c>
      <c r="L67" s="215" t="n">
        <f aca="false">ASS!$C$62*(1+ASS!$E$62)^(L6-ASS!$C$43)*L7/12</f>
        <v>0</v>
      </c>
      <c r="M67" s="215" t="n">
        <f aca="false">ASS!$C$62*(1+ASS!$E$62)^(M6-ASS!$C$43)*M7/12</f>
        <v>0</v>
      </c>
      <c r="N67" s="215" t="n">
        <f aca="false">ASS!$C$62*(1+ASS!$E$62)^(N6-ASS!$C$43)*N7/12</f>
        <v>0</v>
      </c>
      <c r="O67" s="215" t="n">
        <f aca="false">ASS!$C$62*(1+ASS!$E$62)^(O6-ASS!$C$43)*O7/12</f>
        <v>0</v>
      </c>
      <c r="P67" s="215" t="n">
        <f aca="false">ASS!$C$62*(1+ASS!$E$62)^(P6-ASS!$C$43)*P7/12</f>
        <v>0</v>
      </c>
      <c r="Q67" s="215" t="n">
        <f aca="false">ASS!$C$62*(1+ASS!$E$62)^(Q6-ASS!$C$43)*Q7/12</f>
        <v>0</v>
      </c>
      <c r="R67" s="215" t="n">
        <f aca="false">ASS!$C$62*(1+ASS!$E$62)^(R6-ASS!$C$43)*R7/12</f>
        <v>0</v>
      </c>
      <c r="S67" s="215" t="n">
        <f aca="false">ASS!$C$62*(1+ASS!$E$62)^(S6-ASS!$C$43)*S7/12</f>
        <v>0</v>
      </c>
      <c r="T67" s="215" t="n">
        <f aca="false">ASS!$C$62*(1+ASS!$E$62)^(T6-ASS!$C$43)*T7/12</f>
        <v>0</v>
      </c>
      <c r="U67" s="215" t="n">
        <f aca="false">ASS!$C$62*(1+ASS!$E$62)^(U6-ASS!$C$43)*U7/12</f>
        <v>0</v>
      </c>
      <c r="V67" s="215" t="n">
        <f aca="false">ASS!$C$62*(1+ASS!$E$62)^(V6-ASS!$C$43)*V7/12</f>
        <v>0</v>
      </c>
      <c r="W67" s="215" t="n">
        <f aca="false">ASS!$C$62*(1+ASS!$E$62)^(W6-ASS!$C$43)*W7/12</f>
        <v>0</v>
      </c>
      <c r="X67" s="215" t="n">
        <f aca="false">ASS!$C$62*(1+ASS!$E$62)^(X6-ASS!$C$43)*X7/12</f>
        <v>0</v>
      </c>
      <c r="Y67" s="215" t="n">
        <f aca="false">ASS!$C$62*(1+ASS!$E$62)^(Y6-ASS!$C$43)*Y7/12</f>
        <v>0</v>
      </c>
      <c r="Z67" s="215" t="n">
        <f aca="false">ASS!$C$62*(1+ASS!$E$62)^(Z6-ASS!$C$43)*Z7/12</f>
        <v>0</v>
      </c>
      <c r="AA67" s="215" t="n">
        <f aca="false">ASS!$C$62*(1+ASS!$E$62)^(AA6-ASS!$C$43)*AA7/12</f>
        <v>0</v>
      </c>
      <c r="AB67" s="215" t="n">
        <f aca="false">ASS!$C$62*(1+ASS!$E$62)^(AB6-ASS!$C$43)*AB7/12</f>
        <v>0</v>
      </c>
      <c r="AC67" s="215" t="n">
        <f aca="false">ASS!$C$62*(1+ASS!$E$62)^(AC6-ASS!$C$43)*AC7/12</f>
        <v>0</v>
      </c>
      <c r="AD67" s="216" t="n">
        <f aca="false">SUM(D67:AC67)</f>
        <v>0</v>
      </c>
    </row>
    <row r="68" customFormat="false" ht="12.75" hidden="false" customHeight="false" outlineLevel="0" collapsed="false">
      <c r="A68" s="29" t="s">
        <v>233</v>
      </c>
      <c r="B68" s="30"/>
      <c r="C68" s="30"/>
      <c r="D68" s="212" t="n">
        <f aca="false">SUM(D63:D67)</f>
        <v>80819.865</v>
      </c>
      <c r="E68" s="212" t="n">
        <f aca="false">SUM(E63:E67)</f>
        <v>137895.636</v>
      </c>
      <c r="F68" s="212" t="n">
        <f aca="false">SUM(F63:F67)</f>
        <v>138075.39312</v>
      </c>
      <c r="G68" s="212" t="n">
        <f aca="false">SUM(G63:G67)</f>
        <v>138588.2965824</v>
      </c>
      <c r="H68" s="212" t="n">
        <f aca="false">SUM(H63:H67)</f>
        <v>139517.571714048</v>
      </c>
      <c r="I68" s="212" t="n">
        <f aca="false">SUM(I63:I67)</f>
        <v>140322.293948329</v>
      </c>
      <c r="J68" s="212" t="n">
        <f aca="false">SUM(J63:J67)</f>
        <v>142209.158827296</v>
      </c>
      <c r="K68" s="212" t="n">
        <f aca="false">SUM(K63:K67)</f>
        <v>143555.382003841</v>
      </c>
      <c r="L68" s="212" t="n">
        <f aca="false">SUM(L63:L67)</f>
        <v>145193.169243918</v>
      </c>
      <c r="M68" s="212" t="n">
        <f aca="false">SUM(M63:M67)</f>
        <v>147039.306428797</v>
      </c>
      <c r="N68" s="212" t="n">
        <f aca="false">SUM(N63:N67)</f>
        <v>148844.139557373</v>
      </c>
      <c r="O68" s="212" t="n">
        <f aca="false">SUM(O63:O67)</f>
        <v>150441.23474852</v>
      </c>
      <c r="P68" s="212" t="n">
        <f aca="false">SUM(P63:P67)</f>
        <v>152746.01824349</v>
      </c>
      <c r="Q68" s="212" t="n">
        <f aca="false">SUM(Q63:Q67)</f>
        <v>153844.43640836</v>
      </c>
      <c r="R68" s="212" t="n">
        <f aca="false">SUM(R63:R67)</f>
        <v>155608.945736527</v>
      </c>
      <c r="S68" s="212" t="e">
        <f aca="false">SUM(S63:S67)</f>
        <v>#VALUE!</v>
      </c>
      <c r="T68" s="212" t="n">
        <f aca="false">SUM(T63:T67)</f>
        <v>896.154508283152</v>
      </c>
      <c r="U68" s="212" t="n">
        <f aca="false">SUM(U63:U67)</f>
        <v>914.077598448815</v>
      </c>
      <c r="V68" s="212" t="n">
        <f aca="false">SUM(V63:V67)</f>
        <v>932.359150417791</v>
      </c>
      <c r="W68" s="212" t="n">
        <f aca="false">SUM(W63:W67)</f>
        <v>951.006333426147</v>
      </c>
      <c r="X68" s="212" t="n">
        <f aca="false">SUM(X63:X67)</f>
        <v>970.02646009467</v>
      </c>
      <c r="Y68" s="212" t="n">
        <f aca="false">SUM(Y63:Y67)</f>
        <v>989.426989296563</v>
      </c>
      <c r="Z68" s="212" t="n">
        <f aca="false">SUM(Z63:Z67)</f>
        <v>1009.21552908249</v>
      </c>
      <c r="AA68" s="212" t="n">
        <f aca="false">SUM(AA63:AA67)</f>
        <v>1029.39983966414</v>
      </c>
      <c r="AB68" s="212" t="n">
        <f aca="false">SUM(AB63:AB67)</f>
        <v>1049.98783645743</v>
      </c>
      <c r="AC68" s="212" t="n">
        <f aca="false">SUM(AC63:AC67)</f>
        <v>0</v>
      </c>
      <c r="AD68" s="213" t="e">
        <f aca="false">SUM(D68:AC68)</f>
        <v>#VALUE!</v>
      </c>
    </row>
    <row r="69" customFormat="false" ht="12.75" hidden="false" customHeight="false" outlineLevel="0" collapsed="false">
      <c r="A69" s="29"/>
      <c r="B69" s="30"/>
      <c r="C69" s="30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3"/>
    </row>
    <row r="70" customFormat="false" ht="12.75" hidden="false" customHeight="false" outlineLevel="0" collapsed="false">
      <c r="A70" s="29" t="s">
        <v>234</v>
      </c>
      <c r="B70" s="30"/>
      <c r="C70" s="30"/>
      <c r="D70" s="212" t="n">
        <f aca="false">D60+D68</f>
        <v>80819.865</v>
      </c>
      <c r="E70" s="212" t="n">
        <f aca="false">E60+E68</f>
        <v>137895.636</v>
      </c>
      <c r="F70" s="212" t="n">
        <f aca="false">F60+F68</f>
        <v>138075.39312</v>
      </c>
      <c r="G70" s="212" t="n">
        <f aca="false">G60+G68</f>
        <v>138588.2965824</v>
      </c>
      <c r="H70" s="212" t="n">
        <f aca="false">H60+H68</f>
        <v>139517.571714048</v>
      </c>
      <c r="I70" s="212" t="n">
        <f aca="false">I60+I68</f>
        <v>140322.293948329</v>
      </c>
      <c r="J70" s="212" t="n">
        <f aca="false">J60+J68</f>
        <v>142209.158827296</v>
      </c>
      <c r="K70" s="212" t="n">
        <f aca="false">K60+K68</f>
        <v>143555.382003841</v>
      </c>
      <c r="L70" s="212" t="n">
        <f aca="false">L60+L68</f>
        <v>145193.169243918</v>
      </c>
      <c r="M70" s="212" t="n">
        <f aca="false">M60+M68</f>
        <v>147039.306428797</v>
      </c>
      <c r="N70" s="212" t="n">
        <f aca="false">N60+N68</f>
        <v>148844.139557373</v>
      </c>
      <c r="O70" s="212" t="n">
        <f aca="false">O60+O68</f>
        <v>150441.23474852</v>
      </c>
      <c r="P70" s="212" t="n">
        <f aca="false">P60+P68</f>
        <v>152746.01824349</v>
      </c>
      <c r="Q70" s="212" t="n">
        <f aca="false">Q60+Q68</f>
        <v>153844.43640836</v>
      </c>
      <c r="R70" s="212" t="n">
        <f aca="false">R60+R68</f>
        <v>155608.945736527</v>
      </c>
      <c r="S70" s="212" t="e">
        <f aca="false">S60+S68</f>
        <v>#VALUE!</v>
      </c>
      <c r="T70" s="212" t="n">
        <f aca="false">T60+T68</f>
        <v>896.154508283152</v>
      </c>
      <c r="U70" s="212" t="n">
        <f aca="false">U60+U68</f>
        <v>914.077598448815</v>
      </c>
      <c r="V70" s="212" t="n">
        <f aca="false">V60+V68</f>
        <v>932.359150417791</v>
      </c>
      <c r="W70" s="212" t="n">
        <f aca="false">W60+W68</f>
        <v>951.006333426147</v>
      </c>
      <c r="X70" s="212" t="n">
        <f aca="false">X60+X68</f>
        <v>970.02646009467</v>
      </c>
      <c r="Y70" s="212" t="n">
        <f aca="false">Y60+Y68</f>
        <v>989.426989296563</v>
      </c>
      <c r="Z70" s="212" t="n">
        <f aca="false">Z60+Z68</f>
        <v>1009.21552908249</v>
      </c>
      <c r="AA70" s="212" t="n">
        <f aca="false">AA60+AA68</f>
        <v>1029.39983966414</v>
      </c>
      <c r="AB70" s="212" t="n">
        <f aca="false">AB60+AB68</f>
        <v>1049.98783645743</v>
      </c>
      <c r="AC70" s="212" t="n">
        <f aca="false">AC60+AC68</f>
        <v>0</v>
      </c>
      <c r="AD70" s="213" t="e">
        <f aca="false">SUM(D70:AC70)</f>
        <v>#VALUE!</v>
      </c>
    </row>
    <row r="71" customFormat="false" ht="12.75" hidden="false" customHeight="false" outlineLevel="0" collapsed="false">
      <c r="A71" s="29"/>
      <c r="B71" s="30"/>
      <c r="C71" s="30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3"/>
    </row>
    <row r="72" customFormat="false" ht="12.75" hidden="false" customHeight="false" outlineLevel="0" collapsed="false">
      <c r="A72" s="35" t="s">
        <v>235</v>
      </c>
      <c r="B72" s="91"/>
      <c r="C72" s="91"/>
      <c r="D72" s="217" t="n">
        <f aca="false">D70+D44</f>
        <v>80819.865</v>
      </c>
      <c r="E72" s="217" t="n">
        <f aca="false">E70+E44</f>
        <v>137895.636</v>
      </c>
      <c r="F72" s="217" t="n">
        <f aca="false">F70+F44</f>
        <v>138075.39312</v>
      </c>
      <c r="G72" s="217" t="n">
        <f aca="false">G70+G44</f>
        <v>138588.2965824</v>
      </c>
      <c r="H72" s="217" t="n">
        <f aca="false">H70+H44</f>
        <v>139517.571714048</v>
      </c>
      <c r="I72" s="217" t="n">
        <f aca="false">I70+I44</f>
        <v>140322.293948329</v>
      </c>
      <c r="J72" s="217" t="n">
        <f aca="false">J70+J44</f>
        <v>142209.158827296</v>
      </c>
      <c r="K72" s="217" t="n">
        <f aca="false">K70+K44</f>
        <v>143555.382003841</v>
      </c>
      <c r="L72" s="217" t="n">
        <f aca="false">L70+L44</f>
        <v>145193.169243918</v>
      </c>
      <c r="M72" s="217" t="n">
        <f aca="false">M70+M44</f>
        <v>147039.306428797</v>
      </c>
      <c r="N72" s="217" t="n">
        <f aca="false">N70+N44</f>
        <v>148844.139557373</v>
      </c>
      <c r="O72" s="217" t="n">
        <f aca="false">O70+O44</f>
        <v>150441.23474852</v>
      </c>
      <c r="P72" s="217" t="n">
        <f aca="false">P70+P44</f>
        <v>152746.01824349</v>
      </c>
      <c r="Q72" s="217" t="n">
        <f aca="false">Q70+Q44</f>
        <v>153844.43640836</v>
      </c>
      <c r="R72" s="217" t="n">
        <f aca="false">R70+R44</f>
        <v>155608.945736527</v>
      </c>
      <c r="S72" s="217" t="e">
        <f aca="false">S70+S44</f>
        <v>#VALUE!</v>
      </c>
      <c r="T72" s="217" t="n">
        <f aca="false">T70+T44</f>
        <v>896.154508283152</v>
      </c>
      <c r="U72" s="217" t="n">
        <f aca="false">U70+U44</f>
        <v>914.077598448815</v>
      </c>
      <c r="V72" s="217" t="n">
        <f aca="false">V70+V44</f>
        <v>932.359150417791</v>
      </c>
      <c r="W72" s="217" t="n">
        <f aca="false">W70+W44</f>
        <v>951.006333426147</v>
      </c>
      <c r="X72" s="217" t="n">
        <f aca="false">X70+X44</f>
        <v>970.02646009467</v>
      </c>
      <c r="Y72" s="217" t="n">
        <f aca="false">Y70+Y44</f>
        <v>989.426989296563</v>
      </c>
      <c r="Z72" s="217" t="n">
        <f aca="false">Z70+Z44</f>
        <v>1009.21552908249</v>
      </c>
      <c r="AA72" s="217" t="n">
        <f aca="false">AA70+AA44</f>
        <v>1029.39983966414</v>
      </c>
      <c r="AB72" s="217" t="n">
        <f aca="false">AB70+AB44</f>
        <v>1049.98783645743</v>
      </c>
      <c r="AC72" s="217" t="n">
        <f aca="false">AC70+AC44</f>
        <v>0</v>
      </c>
      <c r="AD72" s="218" t="e">
        <f aca="false">SUM(D72:AC72)</f>
        <v>#VALUE!</v>
      </c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  <row r="73" customFormat="false" ht="12.75" hidden="false" customHeight="false" outlineLevel="0" collapsed="false">
      <c r="A73" s="29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207"/>
    </row>
    <row r="74" customFormat="false" ht="12.75" hidden="false" customHeight="false" outlineLevel="0" collapsed="false">
      <c r="A74" s="29"/>
      <c r="B74" s="171" t="s">
        <v>236</v>
      </c>
      <c r="C74" s="172"/>
      <c r="D74" s="246" t="n">
        <f aca="false">IF(D7=0,0,(D70/D10)*100)</f>
        <v>3.32968853640952</v>
      </c>
      <c r="E74" s="246" t="n">
        <f aca="false">IF(E7=0,0,(E70/E10)*100)</f>
        <v>3.31400230713771</v>
      </c>
      <c r="F74" s="246" t="n">
        <f aca="false">IF(F7=0,0,(F70/F10)*100)</f>
        <v>3.31832235328046</v>
      </c>
      <c r="G74" s="246" t="n">
        <f aca="false">IF(G7=0,0,(G70/G10)*100)</f>
        <v>3.33064880034607</v>
      </c>
      <c r="H74" s="246" t="n">
        <f aca="false">IF(H7=0,0,(H70/H10)*100)</f>
        <v>3.35298177635299</v>
      </c>
      <c r="I74" s="246" t="n">
        <f aca="false">IF(I7=0,0,(I70/I10)*100)</f>
        <v>3.37232141188005</v>
      </c>
      <c r="J74" s="246" t="n">
        <f aca="false">IF(J7=0,0,(J70/J10)*100)</f>
        <v>3.41766784011765</v>
      </c>
      <c r="K74" s="246" t="n">
        <f aca="false">IF(K7=0,0,(K70/K10)*100)</f>
        <v>3.45002119692001</v>
      </c>
      <c r="L74" s="246" t="n">
        <f aca="false">IF(L7=0,0,(L70/L10)*100)</f>
        <v>3.48938162085841</v>
      </c>
      <c r="M74" s="246" t="n">
        <f aca="false">IF(M7=0,0,(M70/M10)*100)</f>
        <v>3.53374925327557</v>
      </c>
      <c r="N74" s="246" t="n">
        <f aca="false">IF(N7=0,0,(N70/N10)*100)</f>
        <v>3.57712423834109</v>
      </c>
      <c r="O74" s="246" t="n">
        <f aca="false">IF(O7=0,0,(O70/O10)*100)</f>
        <v>3.61550672310791</v>
      </c>
      <c r="P74" s="246" t="n">
        <f aca="false">IF(P7=0,0,(P70/P10)*100)</f>
        <v>3.67089685757007</v>
      </c>
      <c r="Q74" s="246" t="n">
        <f aca="false">IF(Q7=0,0,(Q70/Q10)*100)</f>
        <v>3.69729479472147</v>
      </c>
      <c r="R74" s="246" t="n">
        <f aca="false">IF(R7=0,0,(R70/R10)*100)</f>
        <v>3.7397006906159</v>
      </c>
      <c r="S74" s="246" t="e">
        <f aca="false">IF(S7=0,0,(S70/S10)*100)</f>
        <v>#VALUE!</v>
      </c>
      <c r="T74" s="246" t="n">
        <f aca="false">IF(T7=0,0,(T70/T10)*100)</f>
        <v>0.0215369985167785</v>
      </c>
      <c r="U74" s="246" t="n">
        <f aca="false">IF(U7=0,0,(U70/U10)*100)</f>
        <v>0.021967738487114</v>
      </c>
      <c r="V74" s="246" t="n">
        <f aca="false">IF(V7=0,0,(V70/V10)*100)</f>
        <v>0.0224070932568563</v>
      </c>
      <c r="W74" s="246" t="n">
        <f aca="false">IF(W7=0,0,(W70/W10)*100)</f>
        <v>0.0228552351219934</v>
      </c>
      <c r="X74" s="246" t="n">
        <f aca="false">IF(X7=0,0,(X70/X10)*100)</f>
        <v>0.0233123398244333</v>
      </c>
      <c r="Y74" s="246" t="n">
        <f aca="false">IF(Y7=0,0,(Y70/Y10)*100)</f>
        <v>0.023778586620922</v>
      </c>
      <c r="Z74" s="246" t="n">
        <f aca="false">IF(Z7=0,0,(Z70/Z10)*100)</f>
        <v>0.0242541583533404</v>
      </c>
      <c r="AA74" s="246" t="n">
        <f aca="false">IF(AA7=0,0,(AA70/AA10)*100)</f>
        <v>0.0247392415204072</v>
      </c>
      <c r="AB74" s="246" t="n">
        <f aca="false">IF(AB7=0,0,(AB70/AB10)*100)</f>
        <v>0.0252340263508154</v>
      </c>
      <c r="AC74" s="246" t="n">
        <f aca="false">IF(AC7=0,0,(AC70/AC10)*100)</f>
        <v>0</v>
      </c>
      <c r="AD74" s="247" t="s">
        <v>1</v>
      </c>
    </row>
    <row r="75" customFormat="false" ht="12.75" hidden="false" customHeight="false" outlineLevel="0" collapsed="false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207"/>
    </row>
    <row r="76" customFormat="false" ht="12.75" hidden="false" customHeight="false" outlineLevel="0" collapsed="false">
      <c r="A76" s="35" t="s">
        <v>237</v>
      </c>
      <c r="B76" s="91"/>
      <c r="C76" s="217" t="s">
        <v>238</v>
      </c>
      <c r="D76" s="217" t="n">
        <f aca="false">D25-D72</f>
        <v>0</v>
      </c>
      <c r="E76" s="217" t="n">
        <f aca="false">E25-E72</f>
        <v>0</v>
      </c>
      <c r="F76" s="217" t="n">
        <f aca="false">F25-F72</f>
        <v>0</v>
      </c>
      <c r="G76" s="217" t="n">
        <f aca="false">G25-G72</f>
        <v>0</v>
      </c>
      <c r="H76" s="217" t="n">
        <f aca="false">H25-H72</f>
        <v>0</v>
      </c>
      <c r="I76" s="217" t="n">
        <f aca="false">I25-I72</f>
        <v>0</v>
      </c>
      <c r="J76" s="217" t="n">
        <f aca="false">J25-J72</f>
        <v>0</v>
      </c>
      <c r="K76" s="217" t="n">
        <f aca="false">K25-K72</f>
        <v>0</v>
      </c>
      <c r="L76" s="217" t="n">
        <f aca="false">L25-L72</f>
        <v>0</v>
      </c>
      <c r="M76" s="217" t="n">
        <f aca="false">M25-M72</f>
        <v>0</v>
      </c>
      <c r="N76" s="217" t="n">
        <f aca="false">N25-N72</f>
        <v>0</v>
      </c>
      <c r="O76" s="217" t="n">
        <f aca="false">O25-O72</f>
        <v>0</v>
      </c>
      <c r="P76" s="217" t="n">
        <f aca="false">P25-P72</f>
        <v>0</v>
      </c>
      <c r="Q76" s="217" t="n">
        <f aca="false">Q25-Q72</f>
        <v>0</v>
      </c>
      <c r="R76" s="217" t="n">
        <f aca="false">R25-R72</f>
        <v>0</v>
      </c>
      <c r="S76" s="217" t="e">
        <f aca="false">S25-S72</f>
        <v>#VALUE!</v>
      </c>
      <c r="T76" s="217" t="n">
        <f aca="false">T25-T72</f>
        <v>0</v>
      </c>
      <c r="U76" s="217" t="n">
        <f aca="false">U25-U72</f>
        <v>0</v>
      </c>
      <c r="V76" s="217" t="n">
        <f aca="false">V25-V72</f>
        <v>0</v>
      </c>
      <c r="W76" s="217" t="n">
        <f aca="false">W25-W72</f>
        <v>0</v>
      </c>
      <c r="X76" s="217" t="n">
        <f aca="false">X25-X72</f>
        <v>0</v>
      </c>
      <c r="Y76" s="217" t="n">
        <f aca="false">Y25-Y72</f>
        <v>0</v>
      </c>
      <c r="Z76" s="217" t="n">
        <f aca="false">Z25-Z72</f>
        <v>0</v>
      </c>
      <c r="AA76" s="217" t="n">
        <f aca="false">AA25-AA72</f>
        <v>0</v>
      </c>
      <c r="AB76" s="217" t="n">
        <f aca="false">AB25-AB72</f>
        <v>0</v>
      </c>
      <c r="AC76" s="217" t="n">
        <f aca="false">AC25-AC72</f>
        <v>0</v>
      </c>
      <c r="AD76" s="218" t="e">
        <f aca="false">SUM(D76:AC76)</f>
        <v>#VALUE!</v>
      </c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</row>
    <row r="77" customFormat="false" ht="12.75" hidden="false" customHeight="false" outlineLevel="0" collapsed="false">
      <c r="A77" s="29" t="s">
        <v>239</v>
      </c>
      <c r="B77" s="30"/>
      <c r="C77" s="30"/>
      <c r="D77" s="215" t="n">
        <f aca="false">-DEPR!F34</f>
        <v>-0</v>
      </c>
      <c r="E77" s="215" t="n">
        <f aca="false">-DEPR!G34</f>
        <v>-0</v>
      </c>
      <c r="F77" s="215" t="n">
        <f aca="false">-DEPR!H34</f>
        <v>-0</v>
      </c>
      <c r="G77" s="215" t="n">
        <f aca="false">-DEPR!I34</f>
        <v>-0</v>
      </c>
      <c r="H77" s="215" t="n">
        <f aca="false">-DEPR!J34</f>
        <v>-0</v>
      </c>
      <c r="I77" s="215" t="n">
        <f aca="false">-DEPR!K34</f>
        <v>-0</v>
      </c>
      <c r="J77" s="215" t="n">
        <f aca="false">-DEPR!L34</f>
        <v>-0</v>
      </c>
      <c r="K77" s="215" t="n">
        <f aca="false">-DEPR!M34</f>
        <v>-0</v>
      </c>
      <c r="L77" s="215" t="n">
        <f aca="false">-DEPR!N34</f>
        <v>-0</v>
      </c>
      <c r="M77" s="215" t="n">
        <f aca="false">-DEPR!O34</f>
        <v>-0</v>
      </c>
      <c r="N77" s="215" t="n">
        <f aca="false">-DEPR!P34</f>
        <v>-0</v>
      </c>
      <c r="O77" s="215" t="n">
        <f aca="false">-DEPR!Q34</f>
        <v>-0</v>
      </c>
      <c r="P77" s="215" t="n">
        <f aca="false">-DEPR!R34</f>
        <v>-0</v>
      </c>
      <c r="Q77" s="215" t="n">
        <f aca="false">-DEPR!S34</f>
        <v>-0</v>
      </c>
      <c r="R77" s="215" t="n">
        <f aca="false">-DEPR!T34</f>
        <v>-0</v>
      </c>
      <c r="S77" s="215" t="n">
        <f aca="false">-DEPR!U34</f>
        <v>-0</v>
      </c>
      <c r="T77" s="215" t="n">
        <f aca="false">-DEPR!V34</f>
        <v>-0</v>
      </c>
      <c r="U77" s="215" t="n">
        <f aca="false">-DEPR!W34</f>
        <v>-0</v>
      </c>
      <c r="V77" s="215" t="n">
        <f aca="false">-DEPR!X34</f>
        <v>-0</v>
      </c>
      <c r="W77" s="215" t="n">
        <f aca="false">-DEPR!Y34</f>
        <v>-0</v>
      </c>
      <c r="X77" s="215" t="n">
        <f aca="false">-DEPR!Z34</f>
        <v>-0</v>
      </c>
      <c r="Y77" s="215" t="n">
        <f aca="false">-DEPR!AA34</f>
        <v>-0</v>
      </c>
      <c r="Z77" s="215" t="n">
        <f aca="false">-DEPR!AB34</f>
        <v>-0</v>
      </c>
      <c r="AA77" s="215" t="n">
        <f aca="false">-DEPR!AC34</f>
        <v>-0</v>
      </c>
      <c r="AB77" s="215" t="n">
        <f aca="false">-DEPR!AD34</f>
        <v>-0</v>
      </c>
      <c r="AC77" s="215" t="n">
        <f aca="false">-DEPR!AE34</f>
        <v>-0</v>
      </c>
      <c r="AD77" s="216" t="n">
        <f aca="false">SUM(D77:AC77)</f>
        <v>0</v>
      </c>
      <c r="AE77" s="5" t="str">
        <f aca="false">IF(ABS(-$AD$77-ASS!$I$23)&lt;0.1," ","WARNING:  CHECK DEPRECIATION")</f>
        <v>WARNING:  CHECK DEPRECIATION</v>
      </c>
    </row>
    <row r="78" customFormat="false" ht="12.75" hidden="false" customHeight="false" outlineLevel="0" collapsed="false">
      <c r="A78" s="29"/>
      <c r="B78" s="30"/>
      <c r="C78" s="30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3"/>
      <c r="AE78" s="0"/>
      <c r="AF78" s="0"/>
    </row>
    <row r="79" customFormat="false" ht="12.75" hidden="false" customHeight="false" outlineLevel="0" collapsed="false">
      <c r="A79" s="35" t="s">
        <v>240</v>
      </c>
      <c r="B79" s="91"/>
      <c r="C79" s="91"/>
      <c r="D79" s="217" t="n">
        <f aca="false">SUM(D76:D77)</f>
        <v>0</v>
      </c>
      <c r="E79" s="217" t="n">
        <f aca="false">SUM(E76:E77)</f>
        <v>0</v>
      </c>
      <c r="F79" s="217" t="n">
        <f aca="false">SUM(F76:F77)</f>
        <v>0</v>
      </c>
      <c r="G79" s="217" t="n">
        <f aca="false">SUM(G76:G77)</f>
        <v>0</v>
      </c>
      <c r="H79" s="217" t="n">
        <f aca="false">SUM(H76:H77)</f>
        <v>0</v>
      </c>
      <c r="I79" s="217" t="n">
        <f aca="false">SUM(I76:I77)</f>
        <v>0</v>
      </c>
      <c r="J79" s="217" t="n">
        <f aca="false">SUM(J76:J77)</f>
        <v>0</v>
      </c>
      <c r="K79" s="217" t="n">
        <f aca="false">SUM(K76:K77)</f>
        <v>0</v>
      </c>
      <c r="L79" s="217" t="n">
        <f aca="false">SUM(L76:L77)</f>
        <v>0</v>
      </c>
      <c r="M79" s="217" t="n">
        <f aca="false">SUM(M76:M77)</f>
        <v>0</v>
      </c>
      <c r="N79" s="217" t="n">
        <f aca="false">SUM(N76:N77)</f>
        <v>0</v>
      </c>
      <c r="O79" s="217" t="n">
        <f aca="false">SUM(O76:O77)</f>
        <v>0</v>
      </c>
      <c r="P79" s="217" t="n">
        <f aca="false">SUM(P76:P77)</f>
        <v>0</v>
      </c>
      <c r="Q79" s="217" t="n">
        <f aca="false">SUM(Q76:Q77)</f>
        <v>0</v>
      </c>
      <c r="R79" s="217" t="n">
        <f aca="false">SUM(R76:R77)</f>
        <v>0</v>
      </c>
      <c r="S79" s="217" t="e">
        <f aca="false">SUM(S76:S77)</f>
        <v>#VALUE!</v>
      </c>
      <c r="T79" s="217" t="n">
        <f aca="false">SUM(T76:T77)</f>
        <v>0</v>
      </c>
      <c r="U79" s="217" t="n">
        <f aca="false">SUM(U76:U77)</f>
        <v>0</v>
      </c>
      <c r="V79" s="217" t="n">
        <f aca="false">SUM(V76:V77)</f>
        <v>0</v>
      </c>
      <c r="W79" s="217" t="n">
        <f aca="false">SUM(W76:W77)</f>
        <v>0</v>
      </c>
      <c r="X79" s="217" t="n">
        <f aca="false">SUM(X76:X77)</f>
        <v>0</v>
      </c>
      <c r="Y79" s="217" t="n">
        <f aca="false">SUM(Y76:Y77)</f>
        <v>0</v>
      </c>
      <c r="Z79" s="217" t="n">
        <f aca="false">SUM(Z76:Z77)</f>
        <v>0</v>
      </c>
      <c r="AA79" s="217" t="n">
        <f aca="false">SUM(AA76:AA77)</f>
        <v>0</v>
      </c>
      <c r="AB79" s="217" t="n">
        <f aca="false">SUM(AB76:AB77)</f>
        <v>0</v>
      </c>
      <c r="AC79" s="217" t="n">
        <f aca="false">SUM(AC76:AC77)</f>
        <v>0</v>
      </c>
      <c r="AD79" s="218" t="e">
        <f aca="false">SUM(D79:AC79)</f>
        <v>#VALUE!</v>
      </c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</row>
    <row r="80" customFormat="false" ht="12.75" hidden="false" customHeight="false" outlineLevel="0" collapsed="false">
      <c r="A80" s="29" t="s">
        <v>241</v>
      </c>
      <c r="B80" s="30"/>
      <c r="C80" s="30"/>
      <c r="D80" s="212" t="e">
        <f aca="false">-FIN!D10</f>
        <v>#REF!</v>
      </c>
      <c r="E80" s="212" t="e">
        <f aca="false">-FIN!E10</f>
        <v>#REF!</v>
      </c>
      <c r="F80" s="212" t="e">
        <f aca="false">-FIN!F10</f>
        <v>#REF!</v>
      </c>
      <c r="G80" s="212" t="e">
        <f aca="false">-FIN!G10</f>
        <v>#REF!</v>
      </c>
      <c r="H80" s="212" t="e">
        <f aca="false">-FIN!H10</f>
        <v>#REF!</v>
      </c>
      <c r="I80" s="212" t="e">
        <f aca="false">-FIN!I10</f>
        <v>#REF!</v>
      </c>
      <c r="J80" s="212" t="e">
        <f aca="false">-FIN!J10</f>
        <v>#REF!</v>
      </c>
      <c r="K80" s="212" t="e">
        <f aca="false">-FIN!K10</f>
        <v>#REF!</v>
      </c>
      <c r="L80" s="212" t="e">
        <f aca="false">-FIN!L10</f>
        <v>#REF!</v>
      </c>
      <c r="M80" s="212" t="e">
        <f aca="false">-FIN!M10</f>
        <v>#REF!</v>
      </c>
      <c r="N80" s="212" t="e">
        <f aca="false">-FIN!N10</f>
        <v>#REF!</v>
      </c>
      <c r="O80" s="212" t="e">
        <f aca="false">-FIN!O10</f>
        <v>#REF!</v>
      </c>
      <c r="P80" s="212" t="e">
        <f aca="false">-FIN!P10</f>
        <v>#REF!</v>
      </c>
      <c r="Q80" s="212" t="e">
        <f aca="false">-FIN!Q10</f>
        <v>#REF!</v>
      </c>
      <c r="R80" s="212" t="e">
        <f aca="false">-FIN!R10</f>
        <v>#REF!</v>
      </c>
      <c r="S80" s="212" t="e">
        <f aca="false">-FIN!S10</f>
        <v>#REF!</v>
      </c>
      <c r="T80" s="212" t="e">
        <f aca="false">-FIN!T10</f>
        <v>#REF!</v>
      </c>
      <c r="U80" s="212" t="e">
        <f aca="false">-FIN!U10</f>
        <v>#REF!</v>
      </c>
      <c r="V80" s="212" t="e">
        <f aca="false">-FIN!V10</f>
        <v>#REF!</v>
      </c>
      <c r="W80" s="212" t="e">
        <f aca="false">-FIN!W10</f>
        <v>#REF!</v>
      </c>
      <c r="X80" s="212" t="e">
        <f aca="false">-FIN!X10</f>
        <v>#REF!</v>
      </c>
      <c r="Y80" s="212" t="e">
        <f aca="false">-FIN!Y10</f>
        <v>#REF!</v>
      </c>
      <c r="Z80" s="212" t="e">
        <f aca="false">-FIN!Z10</f>
        <v>#REF!</v>
      </c>
      <c r="AA80" s="212" t="e">
        <f aca="false">-FIN!AA10</f>
        <v>#REF!</v>
      </c>
      <c r="AB80" s="212" t="e">
        <f aca="false">-FIN!AB10</f>
        <v>#REF!</v>
      </c>
      <c r="AC80" s="212" t="e">
        <f aca="false">-FIN!AC10</f>
        <v>#REF!</v>
      </c>
      <c r="AD80" s="213" t="e">
        <f aca="false">SUM(D80:AC80)</f>
        <v>#REF!</v>
      </c>
      <c r="AE80" s="5" t="e">
        <f aca="false">IF(ABS(-$AD$80-FIN!$AD$10)&lt;0.01," ","CHECK:  DOES NOT EQUAL INTEREST PAYMENTS MADE")</f>
        <v>#REF!</v>
      </c>
    </row>
    <row r="81" customFormat="false" ht="12.75" hidden="false" customHeight="false" outlineLevel="0" collapsed="false">
      <c r="A81" s="29" t="s">
        <v>242</v>
      </c>
      <c r="B81" s="30"/>
      <c r="C81" s="30"/>
      <c r="D81" s="215" t="e">
        <f aca="false">(D80/(1-#REF!))-CF!D80</f>
        <v>#REF!</v>
      </c>
      <c r="E81" s="215" t="e">
        <f aca="false">(E80/(1-#REF!))-CF!E80</f>
        <v>#REF!</v>
      </c>
      <c r="F81" s="215" t="e">
        <f aca="false">(F80/(1-#REF!))-CF!F80</f>
        <v>#REF!</v>
      </c>
      <c r="G81" s="215" t="e">
        <f aca="false">(G80/(1-#REF!))-CF!G80</f>
        <v>#REF!</v>
      </c>
      <c r="H81" s="215" t="e">
        <f aca="false">(H80/(1-#REF!))-CF!H80</f>
        <v>#REF!</v>
      </c>
      <c r="I81" s="215" t="e">
        <f aca="false">(I80/(1-#REF!))-CF!I80</f>
        <v>#REF!</v>
      </c>
      <c r="J81" s="215" t="e">
        <f aca="false">(J80/(1-#REF!))-CF!J80</f>
        <v>#REF!</v>
      </c>
      <c r="K81" s="215" t="e">
        <f aca="false">(K80/(1-#REF!))-CF!K80</f>
        <v>#REF!</v>
      </c>
      <c r="L81" s="215" t="e">
        <f aca="false">(L80/(1-#REF!))-CF!L80</f>
        <v>#REF!</v>
      </c>
      <c r="M81" s="215" t="e">
        <f aca="false">(M80/(1-#REF!))-CF!M80</f>
        <v>#REF!</v>
      </c>
      <c r="N81" s="215" t="e">
        <f aca="false">(N80/(1-#REF!))-CF!N80</f>
        <v>#REF!</v>
      </c>
      <c r="O81" s="215" t="e">
        <f aca="false">(O80/(1-#REF!))-CF!O80</f>
        <v>#REF!</v>
      </c>
      <c r="P81" s="215" t="e">
        <f aca="false">(P80/(1-#REF!))-CF!P80</f>
        <v>#REF!</v>
      </c>
      <c r="Q81" s="215" t="e">
        <f aca="false">(Q80/(1-#REF!))-CF!Q80</f>
        <v>#REF!</v>
      </c>
      <c r="R81" s="215" t="e">
        <f aca="false">(R80/(1-#REF!))-CF!R80</f>
        <v>#REF!</v>
      </c>
      <c r="S81" s="215" t="e">
        <f aca="false">(S80/(1-#REF!))-CF!S80</f>
        <v>#REF!</v>
      </c>
      <c r="T81" s="215" t="e">
        <f aca="false">(T80/(1-#REF!))-CF!T80</f>
        <v>#REF!</v>
      </c>
      <c r="U81" s="215" t="e">
        <f aca="false">(U80/(1-#REF!))-CF!U80</f>
        <v>#REF!</v>
      </c>
      <c r="V81" s="215" t="e">
        <f aca="false">(V80/(1-#REF!))-CF!V80</f>
        <v>#REF!</v>
      </c>
      <c r="W81" s="215" t="e">
        <f aca="false">(W80/(1-#REF!))-CF!W80</f>
        <v>#REF!</v>
      </c>
      <c r="X81" s="215" t="e">
        <f aca="false">(X80/(1-#REF!))-CF!X80</f>
        <v>#REF!</v>
      </c>
      <c r="Y81" s="215" t="e">
        <f aca="false">(Y80/(1-#REF!))-CF!Y80</f>
        <v>#REF!</v>
      </c>
      <c r="Z81" s="215" t="e">
        <f aca="false">(Z80/(1-#REF!))-CF!Z80</f>
        <v>#REF!</v>
      </c>
      <c r="AA81" s="215" t="e">
        <f aca="false">(AA80/(1-#REF!))-CF!AA80</f>
        <v>#REF!</v>
      </c>
      <c r="AB81" s="215" t="e">
        <f aca="false">(AB80/(1-#REF!))-CF!AB80</f>
        <v>#REF!</v>
      </c>
      <c r="AC81" s="215" t="e">
        <f aca="false">(AC80/(1-#REF!))-CF!AC80</f>
        <v>#REF!</v>
      </c>
      <c r="AD81" s="216" t="e">
        <f aca="false">SUM(D81:AC81)</f>
        <v>#REF!</v>
      </c>
    </row>
    <row r="82" customFormat="false" ht="12.75" hidden="false" customHeight="false" outlineLevel="0" collapsed="false">
      <c r="A82" s="29"/>
      <c r="B82" s="30"/>
      <c r="C82" s="30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6"/>
    </row>
    <row r="83" customFormat="false" ht="12.75" hidden="false" customHeight="false" outlineLevel="0" collapsed="false">
      <c r="A83" s="35" t="s">
        <v>243</v>
      </c>
      <c r="B83" s="91"/>
      <c r="C83" s="91"/>
      <c r="D83" s="217" t="e">
        <f aca="false">SUM(D79:D81)</f>
        <v>#REF!</v>
      </c>
      <c r="E83" s="217" t="e">
        <f aca="false">SUM(E79:E81)</f>
        <v>#REF!</v>
      </c>
      <c r="F83" s="217" t="e">
        <f aca="false">SUM(F79:F81)</f>
        <v>#REF!</v>
      </c>
      <c r="G83" s="217" t="e">
        <f aca="false">SUM(G79:G81)</f>
        <v>#REF!</v>
      </c>
      <c r="H83" s="217" t="e">
        <f aca="false">SUM(H79:H81)</f>
        <v>#REF!</v>
      </c>
      <c r="I83" s="217" t="e">
        <f aca="false">SUM(I79:I81)</f>
        <v>#REF!</v>
      </c>
      <c r="J83" s="217" t="e">
        <f aca="false">SUM(J79:J81)</f>
        <v>#REF!</v>
      </c>
      <c r="K83" s="217" t="e">
        <f aca="false">SUM(K79:K81)</f>
        <v>#REF!</v>
      </c>
      <c r="L83" s="217" t="e">
        <f aca="false">SUM(L79:L81)</f>
        <v>#REF!</v>
      </c>
      <c r="M83" s="217" t="e">
        <f aca="false">SUM(M79:M81)</f>
        <v>#REF!</v>
      </c>
      <c r="N83" s="217" t="e">
        <f aca="false">SUM(N79:N81)</f>
        <v>#REF!</v>
      </c>
      <c r="O83" s="217" t="e">
        <f aca="false">SUM(O79:O81)</f>
        <v>#REF!</v>
      </c>
      <c r="P83" s="217" t="e">
        <f aca="false">SUM(P79:P81)</f>
        <v>#REF!</v>
      </c>
      <c r="Q83" s="217" t="e">
        <f aca="false">SUM(Q79:Q81)</f>
        <v>#REF!</v>
      </c>
      <c r="R83" s="217" t="e">
        <f aca="false">SUM(R79:R81)</f>
        <v>#REF!</v>
      </c>
      <c r="S83" s="217" t="e">
        <f aca="false">SUM(S79:S81)</f>
        <v>#VALUE!</v>
      </c>
      <c r="T83" s="217" t="e">
        <f aca="false">SUM(T79:T81)</f>
        <v>#REF!</v>
      </c>
      <c r="U83" s="217" t="e">
        <f aca="false">SUM(U79:U81)</f>
        <v>#REF!</v>
      </c>
      <c r="V83" s="217" t="e">
        <f aca="false">SUM(V79:V81)</f>
        <v>#REF!</v>
      </c>
      <c r="W83" s="217" t="e">
        <f aca="false">SUM(W79:W81)</f>
        <v>#REF!</v>
      </c>
      <c r="X83" s="217" t="e">
        <f aca="false">SUM(X79:X81)</f>
        <v>#REF!</v>
      </c>
      <c r="Y83" s="217" t="e">
        <f aca="false">SUM(Y79:Y81)</f>
        <v>#REF!</v>
      </c>
      <c r="Z83" s="217" t="e">
        <f aca="false">SUM(Z79:Z81)</f>
        <v>#REF!</v>
      </c>
      <c r="AA83" s="217" t="e">
        <f aca="false">SUM(AA79:AA81)</f>
        <v>#REF!</v>
      </c>
      <c r="AB83" s="217" t="e">
        <f aca="false">SUM(AB79:AB81)</f>
        <v>#REF!</v>
      </c>
      <c r="AC83" s="217" t="e">
        <f aca="false">SUM(AC79:AC81)</f>
        <v>#REF!</v>
      </c>
      <c r="AD83" s="218" t="e">
        <f aca="false">SUM(D83:AC83)</f>
        <v>#REF!</v>
      </c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</row>
    <row r="84" customFormat="false" ht="12.75" hidden="false" customHeight="false" outlineLevel="0" collapsed="false">
      <c r="A84" s="29" t="s">
        <v>244</v>
      </c>
      <c r="B84" s="95"/>
      <c r="C84" s="30"/>
      <c r="D84" s="215" t="e">
        <f aca="false">-MAX(D83*TAX,0)</f>
        <v>#VALUE!</v>
      </c>
      <c r="E84" s="215" t="e">
        <f aca="false">-MAX(E83*TAX,0)</f>
        <v>#VALUE!</v>
      </c>
      <c r="F84" s="215" t="e">
        <f aca="false">-MAX(F83*TAX,0)</f>
        <v>#VALUE!</v>
      </c>
      <c r="G84" s="215" t="e">
        <f aca="false">-MAX(G83*TAX,0)</f>
        <v>#VALUE!</v>
      </c>
      <c r="H84" s="215" t="e">
        <f aca="false">-MAX(H83*TAX,0)</f>
        <v>#VALUE!</v>
      </c>
      <c r="I84" s="215" t="e">
        <f aca="false">-MAX(I83*TAX,0)</f>
        <v>#VALUE!</v>
      </c>
      <c r="J84" s="215" t="e">
        <f aca="false">-MAX(J83*TAX,0)</f>
        <v>#VALUE!</v>
      </c>
      <c r="K84" s="215" t="e">
        <f aca="false">-MAX(K83*TAX,0)</f>
        <v>#VALUE!</v>
      </c>
      <c r="L84" s="215" t="e">
        <f aca="false">-MAX(L83*TAX,0)</f>
        <v>#VALUE!</v>
      </c>
      <c r="M84" s="215" t="e">
        <f aca="false">-MAX(M83*TAX,0)</f>
        <v>#VALUE!</v>
      </c>
      <c r="N84" s="215" t="e">
        <f aca="false">-MAX(N83*TAX,0)</f>
        <v>#VALUE!</v>
      </c>
      <c r="O84" s="215" t="e">
        <f aca="false">-MAX(O83*TAX,0)</f>
        <v>#VALUE!</v>
      </c>
      <c r="P84" s="215" t="e">
        <f aca="false">-MAX(P83*TAX,0)</f>
        <v>#VALUE!</v>
      </c>
      <c r="Q84" s="215" t="e">
        <f aca="false">-MAX(Q83*TAX,0)</f>
        <v>#VALUE!</v>
      </c>
      <c r="R84" s="215" t="e">
        <f aca="false">-MAX(R83*TAX,0)</f>
        <v>#VALUE!</v>
      </c>
      <c r="S84" s="215" t="e">
        <f aca="false">-MAX(S83*TAX,0)</f>
        <v>#VALUE!</v>
      </c>
      <c r="T84" s="215" t="e">
        <f aca="false">-MAX(T83*TAX,0)</f>
        <v>#VALUE!</v>
      </c>
      <c r="U84" s="215" t="e">
        <f aca="false">-MAX(U83*TAX,0)</f>
        <v>#VALUE!</v>
      </c>
      <c r="V84" s="215" t="e">
        <f aca="false">-MAX(V83*TAX,0)</f>
        <v>#VALUE!</v>
      </c>
      <c r="W84" s="215" t="e">
        <f aca="false">-MAX(W83*TAX,0)</f>
        <v>#VALUE!</v>
      </c>
      <c r="X84" s="215" t="e">
        <f aca="false">-MAX(X83*TAX,0)</f>
        <v>#VALUE!</v>
      </c>
      <c r="Y84" s="215" t="e">
        <f aca="false">-MAX(Y83*TAX,0)</f>
        <v>#VALUE!</v>
      </c>
      <c r="Z84" s="215" t="e">
        <f aca="false">-MAX(Z83*TAX,0)</f>
        <v>#VALUE!</v>
      </c>
      <c r="AA84" s="215" t="e">
        <f aca="false">-MAX(AA83*TAX,0)</f>
        <v>#VALUE!</v>
      </c>
      <c r="AB84" s="215" t="e">
        <f aca="false">-MAX(AB83*TAX,0)</f>
        <v>#VALUE!</v>
      </c>
      <c r="AC84" s="215" t="e">
        <f aca="false">-MAX(AC83*TAX,0)</f>
        <v>#VALUE!</v>
      </c>
      <c r="AD84" s="248" t="e">
        <f aca="false">SUM(D84:AC84)</f>
        <v>#VALUE!</v>
      </c>
    </row>
    <row r="85" customFormat="false" ht="12.75" hidden="false" customHeight="false" outlineLevel="0" collapsed="false">
      <c r="A85" s="29"/>
      <c r="B85" s="30"/>
      <c r="C85" s="30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3"/>
    </row>
    <row r="86" customFormat="false" ht="12.75" hidden="false" customHeight="false" outlineLevel="0" collapsed="false">
      <c r="A86" s="249" t="s">
        <v>245</v>
      </c>
      <c r="B86" s="250"/>
      <c r="C86" s="250"/>
      <c r="D86" s="251" t="e">
        <f aca="false">SUM(D83:D84)</f>
        <v>#REF!</v>
      </c>
      <c r="E86" s="251" t="e">
        <f aca="false">SUM(E83:E84)</f>
        <v>#REF!</v>
      </c>
      <c r="F86" s="251" t="e">
        <f aca="false">SUM(F83:F84)</f>
        <v>#REF!</v>
      </c>
      <c r="G86" s="251" t="e">
        <f aca="false">SUM(G83:G84)</f>
        <v>#REF!</v>
      </c>
      <c r="H86" s="251" t="e">
        <f aca="false">SUM(H83:H84)</f>
        <v>#REF!</v>
      </c>
      <c r="I86" s="251" t="e">
        <f aca="false">SUM(I83:I84)</f>
        <v>#REF!</v>
      </c>
      <c r="J86" s="251" t="e">
        <f aca="false">SUM(J83:J84)</f>
        <v>#REF!</v>
      </c>
      <c r="K86" s="251" t="e">
        <f aca="false">SUM(K83:K84)</f>
        <v>#REF!</v>
      </c>
      <c r="L86" s="251" t="e">
        <f aca="false">SUM(L83:L84)</f>
        <v>#REF!</v>
      </c>
      <c r="M86" s="251" t="e">
        <f aca="false">SUM(M83:M84)</f>
        <v>#REF!</v>
      </c>
      <c r="N86" s="251" t="e">
        <f aca="false">SUM(N83:N84)</f>
        <v>#REF!</v>
      </c>
      <c r="O86" s="251" t="e">
        <f aca="false">SUM(O83:O84)</f>
        <v>#REF!</v>
      </c>
      <c r="P86" s="251" t="e">
        <f aca="false">SUM(P83:P84)</f>
        <v>#REF!</v>
      </c>
      <c r="Q86" s="251" t="e">
        <f aca="false">SUM(Q83:Q84)</f>
        <v>#REF!</v>
      </c>
      <c r="R86" s="251" t="e">
        <f aca="false">SUM(R83:R84)</f>
        <v>#REF!</v>
      </c>
      <c r="S86" s="251" t="e">
        <f aca="false">SUM(S83:S84)</f>
        <v>#VALUE!</v>
      </c>
      <c r="T86" s="251" t="e">
        <f aca="false">SUM(T83:T84)</f>
        <v>#REF!</v>
      </c>
      <c r="U86" s="251" t="e">
        <f aca="false">SUM(U83:U84)</f>
        <v>#REF!</v>
      </c>
      <c r="V86" s="251" t="e">
        <f aca="false">SUM(V83:V84)</f>
        <v>#REF!</v>
      </c>
      <c r="W86" s="251" t="e">
        <f aca="false">SUM(W83:W84)</f>
        <v>#REF!</v>
      </c>
      <c r="X86" s="251" t="e">
        <f aca="false">SUM(X83:X84)</f>
        <v>#REF!</v>
      </c>
      <c r="Y86" s="251" t="e">
        <f aca="false">SUM(Y83:Y84)</f>
        <v>#REF!</v>
      </c>
      <c r="Z86" s="251" t="e">
        <f aca="false">SUM(Z83:Z84)</f>
        <v>#REF!</v>
      </c>
      <c r="AA86" s="251" t="e">
        <f aca="false">SUM(AA83:AA84)</f>
        <v>#REF!</v>
      </c>
      <c r="AB86" s="251" t="e">
        <f aca="false">SUM(AB83:AB84)</f>
        <v>#REF!</v>
      </c>
      <c r="AC86" s="251" t="e">
        <f aca="false">SUM(AC83:AC84)</f>
        <v>#REF!</v>
      </c>
      <c r="AD86" s="252" t="e">
        <f aca="false">SUM(D86:AC86)</f>
        <v>#REF!</v>
      </c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</row>
    <row r="87" customFormat="false" ht="12.75" hidden="false" customHeight="false" outlineLevel="0" collapsed="false">
      <c r="A87" s="29" t="s">
        <v>246</v>
      </c>
      <c r="B87" s="30"/>
      <c r="C87" s="30"/>
      <c r="D87" s="212" t="n">
        <f aca="false">-D77</f>
        <v>0</v>
      </c>
      <c r="E87" s="212" t="n">
        <f aca="false">-E77</f>
        <v>0</v>
      </c>
      <c r="F87" s="212" t="n">
        <f aca="false">-F77</f>
        <v>0</v>
      </c>
      <c r="G87" s="212" t="n">
        <f aca="false">-G77</f>
        <v>0</v>
      </c>
      <c r="H87" s="212" t="n">
        <f aca="false">-H77</f>
        <v>0</v>
      </c>
      <c r="I87" s="212" t="n">
        <f aca="false">-I77</f>
        <v>0</v>
      </c>
      <c r="J87" s="212" t="n">
        <f aca="false">-J77</f>
        <v>0</v>
      </c>
      <c r="K87" s="212" t="n">
        <f aca="false">-K77</f>
        <v>0</v>
      </c>
      <c r="L87" s="212" t="n">
        <f aca="false">-L77</f>
        <v>0</v>
      </c>
      <c r="M87" s="212" t="n">
        <f aca="false">-M77</f>
        <v>0</v>
      </c>
      <c r="N87" s="212" t="n">
        <f aca="false">-N77</f>
        <v>0</v>
      </c>
      <c r="O87" s="212" t="n">
        <f aca="false">-O77</f>
        <v>0</v>
      </c>
      <c r="P87" s="212" t="n">
        <f aca="false">-P77</f>
        <v>0</v>
      </c>
      <c r="Q87" s="212" t="n">
        <f aca="false">-Q77</f>
        <v>0</v>
      </c>
      <c r="R87" s="212" t="n">
        <f aca="false">-R77</f>
        <v>0</v>
      </c>
      <c r="S87" s="212" t="n">
        <f aca="false">-S77</f>
        <v>0</v>
      </c>
      <c r="T87" s="212" t="n">
        <f aca="false">-T77</f>
        <v>0</v>
      </c>
      <c r="U87" s="212" t="n">
        <f aca="false">-U77</f>
        <v>0</v>
      </c>
      <c r="V87" s="212" t="n">
        <f aca="false">-V77</f>
        <v>0</v>
      </c>
      <c r="W87" s="212" t="n">
        <f aca="false">-W77</f>
        <v>0</v>
      </c>
      <c r="X87" s="212" t="n">
        <f aca="false">-X77</f>
        <v>0</v>
      </c>
      <c r="Y87" s="212" t="n">
        <f aca="false">-Y77</f>
        <v>0</v>
      </c>
      <c r="Z87" s="212" t="n">
        <f aca="false">-Z77</f>
        <v>0</v>
      </c>
      <c r="AA87" s="212" t="n">
        <f aca="false">-AA77</f>
        <v>0</v>
      </c>
      <c r="AB87" s="212" t="n">
        <f aca="false">-AB77</f>
        <v>0</v>
      </c>
      <c r="AC87" s="212" t="n">
        <f aca="false">-AC77</f>
        <v>0</v>
      </c>
      <c r="AD87" s="213" t="n">
        <f aca="false">SUM(D87:AC87)</f>
        <v>0</v>
      </c>
    </row>
    <row r="88" customFormat="false" ht="12.75" hidden="false" customHeight="false" outlineLevel="0" collapsed="false">
      <c r="A88" s="29" t="s">
        <v>247</v>
      </c>
      <c r="B88" s="30"/>
      <c r="C88" s="30"/>
      <c r="D88" s="212" t="n">
        <f aca="false">IF(D5=TERM,SPARES,0)</f>
        <v>0</v>
      </c>
      <c r="E88" s="212" t="n">
        <f aca="false">IF(E5=TERM,SPARES,0)</f>
        <v>0</v>
      </c>
      <c r="F88" s="212" t="n">
        <f aca="false">IF(F5=TERM,SPARES,0)</f>
        <v>0</v>
      </c>
      <c r="G88" s="212" t="n">
        <f aca="false">IF(G5=TERM,SPARES,0)</f>
        <v>0</v>
      </c>
      <c r="H88" s="212" t="n">
        <f aca="false">IF(H5=TERM,SPARES,0)</f>
        <v>0</v>
      </c>
      <c r="I88" s="212" t="n">
        <f aca="false">IF(I5=TERM,SPARES,0)</f>
        <v>0</v>
      </c>
      <c r="J88" s="212" t="n">
        <f aca="false">IF(J5=TERM,SPARES,0)</f>
        <v>0</v>
      </c>
      <c r="K88" s="212" t="n">
        <f aca="false">IF(K5=TERM,SPARES,0)</f>
        <v>0</v>
      </c>
      <c r="L88" s="212" t="n">
        <f aca="false">IF(L5=TERM,SPARES,0)</f>
        <v>0</v>
      </c>
      <c r="M88" s="212" t="n">
        <f aca="false">IF(M5=TERM,SPARES,0)</f>
        <v>0</v>
      </c>
      <c r="N88" s="212" t="n">
        <f aca="false">IF(N5=TERM,SPARES,0)</f>
        <v>0</v>
      </c>
      <c r="O88" s="212" t="n">
        <f aca="false">IF(O5=TERM,SPARES,0)</f>
        <v>0</v>
      </c>
      <c r="P88" s="212" t="n">
        <f aca="false">IF(P5=TERM,SPARES,0)</f>
        <v>0</v>
      </c>
      <c r="Q88" s="212" t="n">
        <f aca="false">IF(Q5=TERM,SPARES,0)</f>
        <v>0</v>
      </c>
      <c r="R88" s="212" t="n">
        <f aca="false">IF(R5=TERM,SPARES,0)</f>
        <v>0</v>
      </c>
      <c r="S88" s="212" t="n">
        <f aca="false">IF(S5=TERM,SPARES,0)</f>
        <v>0</v>
      </c>
      <c r="T88" s="212" t="n">
        <f aca="false">IF(T5=TERM,SPARES,0)</f>
        <v>0</v>
      </c>
      <c r="U88" s="212" t="n">
        <f aca="false">IF(U5=TERM,SPARES,0)</f>
        <v>0</v>
      </c>
      <c r="V88" s="212" t="n">
        <f aca="false">IF(V5=TERM,SPARES,0)</f>
        <v>0</v>
      </c>
      <c r="W88" s="212" t="n">
        <f aca="false">IF(W5=TERM,SPARES,0)</f>
        <v>0</v>
      </c>
      <c r="X88" s="212" t="n">
        <f aca="false">IF(X5=TERM,SPARES,0)</f>
        <v>0</v>
      </c>
      <c r="Y88" s="212" t="n">
        <f aca="false">IF(Y5=TERM,SPARES,0)</f>
        <v>0</v>
      </c>
      <c r="Z88" s="212" t="n">
        <f aca="false">IF(Z5=TERM,SPARES,0)</f>
        <v>0</v>
      </c>
      <c r="AA88" s="212" t="n">
        <f aca="false">IF(AA5=TERM,SPARES,0)</f>
        <v>0</v>
      </c>
      <c r="AB88" s="212" t="n">
        <f aca="false">IF(AB5=TERM,SPARES,0)</f>
        <v>0</v>
      </c>
      <c r="AC88" s="212" t="n">
        <f aca="false">IF(AC5=TERM,SPARES,0)</f>
        <v>0</v>
      </c>
      <c r="AD88" s="213" t="n">
        <f aca="false">SUM(D88:AC88)</f>
        <v>0</v>
      </c>
    </row>
    <row r="89" customFormat="false" ht="12.75" hidden="false" customHeight="false" outlineLevel="0" collapsed="false">
      <c r="A89" s="29" t="s">
        <v>248</v>
      </c>
      <c r="B89" s="30"/>
      <c r="C89" s="30"/>
      <c r="D89" s="212" t="e">
        <f aca="false">IF(D5&lt;=#REF!,(#REF!+ASS!$R$48+#REF!)/#REF!,0)</f>
        <v>#REF!</v>
      </c>
      <c r="E89" s="212" t="e">
        <f aca="false">IF(E5&lt;=#REF!,(#REF!+ASS!$R$48+#REF!)/#REF!,0)</f>
        <v>#REF!</v>
      </c>
      <c r="F89" s="212" t="e">
        <f aca="false">IF(F5&lt;=#REF!,(#REF!+ASS!$R$48+#REF!)/#REF!,0)</f>
        <v>#REF!</v>
      </c>
      <c r="G89" s="212" t="e">
        <f aca="false">IF(G5&lt;=#REF!,(#REF!+ASS!$R$48+#REF!)/#REF!,0)</f>
        <v>#REF!</v>
      </c>
      <c r="H89" s="212" t="e">
        <f aca="false">IF(H5&lt;=#REF!,(#REF!+ASS!$R$48+#REF!)/#REF!,0)</f>
        <v>#REF!</v>
      </c>
      <c r="I89" s="212" t="e">
        <f aca="false">IF(I5&lt;=#REF!,(#REF!+ASS!$R$48+#REF!)/#REF!,0)</f>
        <v>#REF!</v>
      </c>
      <c r="J89" s="212" t="e">
        <f aca="false">IF(J5&lt;=#REF!,(#REF!+ASS!$R$48+#REF!)/#REF!,0)</f>
        <v>#REF!</v>
      </c>
      <c r="K89" s="212" t="e">
        <f aca="false">IF(K5&lt;=#REF!,(#REF!+ASS!$R$48+#REF!)/#REF!,0)</f>
        <v>#REF!</v>
      </c>
      <c r="L89" s="212" t="e">
        <f aca="false">IF(L5&lt;=#REF!,(#REF!+ASS!$R$48+#REF!)/#REF!,0)</f>
        <v>#REF!</v>
      </c>
      <c r="M89" s="212" t="e">
        <f aca="false">IF(M5&lt;=#REF!,(#REF!+ASS!$R$48+#REF!)/#REF!,0)</f>
        <v>#REF!</v>
      </c>
      <c r="N89" s="212" t="e">
        <f aca="false">IF(N5&lt;=#REF!,(#REF!+ASS!$R$48+#REF!)/#REF!,0)</f>
        <v>#REF!</v>
      </c>
      <c r="O89" s="212" t="e">
        <f aca="false">IF(O5&lt;=#REF!,(#REF!+ASS!$R$48+#REF!)/#REF!,0)</f>
        <v>#REF!</v>
      </c>
      <c r="P89" s="212" t="e">
        <f aca="false">IF(P5&lt;=#REF!,(#REF!+ASS!$R$48+#REF!)/#REF!,0)</f>
        <v>#REF!</v>
      </c>
      <c r="Q89" s="212" t="e">
        <f aca="false">IF(Q5&lt;=#REF!,(#REF!+ASS!$R$48+#REF!)/#REF!,0)</f>
        <v>#REF!</v>
      </c>
      <c r="R89" s="212" t="e">
        <f aca="false">IF(R5&lt;=#REF!,(#REF!+ASS!$R$48+#REF!)/#REF!,0)</f>
        <v>#REF!</v>
      </c>
      <c r="S89" s="212" t="e">
        <f aca="false">IF(S5&lt;=#REF!,(#REF!+ASS!$R$48+#REF!)/#REF!,0)</f>
        <v>#REF!</v>
      </c>
      <c r="T89" s="212" t="e">
        <f aca="false">IF(T5&lt;=#REF!,(#REF!+ASS!$R$48+#REF!)/#REF!,0)</f>
        <v>#REF!</v>
      </c>
      <c r="U89" s="212" t="e">
        <f aca="false">IF(U5&lt;=#REF!,(#REF!+ASS!$R$48+#REF!)/#REF!,0)</f>
        <v>#REF!</v>
      </c>
      <c r="V89" s="212" t="e">
        <f aca="false">IF(V5&lt;=#REF!,(#REF!+ASS!$R$48+#REF!)/#REF!,0)</f>
        <v>#REF!</v>
      </c>
      <c r="W89" s="212" t="e">
        <f aca="false">IF(W5&lt;=#REF!,(#REF!+ASS!$R$48+#REF!)/#REF!,0)</f>
        <v>#REF!</v>
      </c>
      <c r="X89" s="212" t="e">
        <f aca="false">IF(X5&lt;=#REF!,(#REF!+ASS!$R$48+#REF!)/#REF!,0)</f>
        <v>#REF!</v>
      </c>
      <c r="Y89" s="212" t="e">
        <f aca="false">IF(Y5&lt;=#REF!,(#REF!+ASS!$R$48+#REF!)/#REF!,0)</f>
        <v>#REF!</v>
      </c>
      <c r="Z89" s="212" t="e">
        <f aca="false">IF(Z5&lt;=#REF!,(#REF!+ASS!$R$48+#REF!)/#REF!,0)</f>
        <v>#REF!</v>
      </c>
      <c r="AA89" s="212" t="e">
        <f aca="false">IF(AA5&lt;=#REF!,(#REF!+ASS!$R$48+#REF!)/#REF!,0)</f>
        <v>#REF!</v>
      </c>
      <c r="AB89" s="212" t="e">
        <f aca="false">IF(AB5&lt;=#REF!,(#REF!+ASS!$R$48+#REF!)/#REF!,0)</f>
        <v>#REF!</v>
      </c>
      <c r="AC89" s="212" t="e">
        <f aca="false">IF(AC5&lt;=#REF!,(#REF!+ASS!$R$48+#REF!)/#REF!,0)</f>
        <v>#REF!</v>
      </c>
      <c r="AD89" s="213" t="e">
        <f aca="false">SUM(D89:AC89)</f>
        <v>#REF!</v>
      </c>
    </row>
    <row r="90" customFormat="false" ht="12.75" hidden="false" customHeight="false" outlineLevel="0" collapsed="false">
      <c r="A90" s="29" t="s">
        <v>249</v>
      </c>
      <c r="B90" s="30" t="s">
        <v>250</v>
      </c>
      <c r="C90" s="30"/>
      <c r="D90" s="212" t="n">
        <f aca="false">IF(D5=TERM,WCAP,0)</f>
        <v>0</v>
      </c>
      <c r="E90" s="212" t="n">
        <f aca="false">IF(E5=TERM,WCAP,0)</f>
        <v>0</v>
      </c>
      <c r="F90" s="212" t="n">
        <f aca="false">IF(F5=TERM,WCAP,0)</f>
        <v>0</v>
      </c>
      <c r="G90" s="212" t="n">
        <f aca="false">IF(G5=TERM,WCAP,0)</f>
        <v>0</v>
      </c>
      <c r="H90" s="212" t="n">
        <f aca="false">IF(H5=TERM,WCAP,0)</f>
        <v>0</v>
      </c>
      <c r="I90" s="212" t="n">
        <f aca="false">IF(I5=TERM,WCAP,0)</f>
        <v>0</v>
      </c>
      <c r="J90" s="212" t="n">
        <f aca="false">IF(J5=TERM,WCAP,0)</f>
        <v>0</v>
      </c>
      <c r="K90" s="212" t="n">
        <f aca="false">IF(K5=TERM,WCAP,0)</f>
        <v>0</v>
      </c>
      <c r="L90" s="212" t="n">
        <f aca="false">IF(L5=TERM,WCAP,0)</f>
        <v>0</v>
      </c>
      <c r="M90" s="212" t="n">
        <f aca="false">IF(M5=TERM,WCAP,0)</f>
        <v>0</v>
      </c>
      <c r="N90" s="212" t="n">
        <f aca="false">IF(N5=TERM,WCAP,0)</f>
        <v>0</v>
      </c>
      <c r="O90" s="212" t="n">
        <f aca="false">IF(O5=TERM,WCAP,0)</f>
        <v>0</v>
      </c>
      <c r="P90" s="212" t="n">
        <f aca="false">IF(P5=TERM,WCAP,0)</f>
        <v>0</v>
      </c>
      <c r="Q90" s="212" t="n">
        <f aca="false">IF(Q5=TERM,WCAP,0)</f>
        <v>0</v>
      </c>
      <c r="R90" s="212" t="n">
        <f aca="false">IF(R5=TERM,WCAP,0)</f>
        <v>0</v>
      </c>
      <c r="S90" s="212" t="n">
        <f aca="false">IF(S5=TERM,WCAP,0)</f>
        <v>0</v>
      </c>
      <c r="T90" s="212" t="n">
        <f aca="false">IF(T5=TERM,WCAP,0)</f>
        <v>0</v>
      </c>
      <c r="U90" s="212" t="n">
        <f aca="false">IF(U5=TERM,WCAP,0)</f>
        <v>0</v>
      </c>
      <c r="V90" s="212" t="n">
        <f aca="false">IF(V5=TERM,WCAP,0)</f>
        <v>0</v>
      </c>
      <c r="W90" s="212" t="n">
        <f aca="false">IF(W5=TERM,WCAP,0)</f>
        <v>0</v>
      </c>
      <c r="X90" s="212" t="n">
        <f aca="false">IF(X5=TERM,WCAP,0)</f>
        <v>0</v>
      </c>
      <c r="Y90" s="212" t="n">
        <f aca="false">IF(Y5=TERM,WCAP,0)</f>
        <v>0</v>
      </c>
      <c r="Z90" s="212" t="n">
        <f aca="false">IF(Z5=TERM,WCAP,0)</f>
        <v>0</v>
      </c>
      <c r="AA90" s="212" t="n">
        <f aca="false">IF(AA5=TERM,WCAP,0)</f>
        <v>0</v>
      </c>
      <c r="AB90" s="212" t="n">
        <f aca="false">IF(AB5=TERM,WCAP,0)</f>
        <v>0</v>
      </c>
      <c r="AC90" s="212" t="n">
        <f aca="false">IF(AC5=TERM,WCAP,0)</f>
        <v>0</v>
      </c>
      <c r="AD90" s="213" t="n">
        <f aca="false">SUM(D90:AC90)</f>
        <v>0</v>
      </c>
    </row>
    <row r="91" customFormat="false" ht="12.75" hidden="false" customHeight="false" outlineLevel="0" collapsed="false">
      <c r="A91" s="29" t="s">
        <v>251</v>
      </c>
      <c r="B91" s="30"/>
      <c r="C91" s="253"/>
      <c r="D91" s="212" t="e">
        <f aca="false">-D84</f>
        <v>#VALUE!</v>
      </c>
      <c r="E91" s="212" t="e">
        <f aca="false">-E84</f>
        <v>#VALUE!</v>
      </c>
      <c r="F91" s="212" t="e">
        <f aca="false">-F84</f>
        <v>#VALUE!</v>
      </c>
      <c r="G91" s="212" t="e">
        <f aca="false">-G84</f>
        <v>#VALUE!</v>
      </c>
      <c r="H91" s="212" t="e">
        <f aca="false">-H84</f>
        <v>#VALUE!</v>
      </c>
      <c r="I91" s="212" t="e">
        <f aca="false">-I84</f>
        <v>#VALUE!</v>
      </c>
      <c r="J91" s="212" t="e">
        <f aca="false">-J84</f>
        <v>#VALUE!</v>
      </c>
      <c r="K91" s="212" t="e">
        <f aca="false">-K84</f>
        <v>#VALUE!</v>
      </c>
      <c r="L91" s="212" t="e">
        <f aca="false">-L84</f>
        <v>#VALUE!</v>
      </c>
      <c r="M91" s="212" t="e">
        <f aca="false">-M84</f>
        <v>#VALUE!</v>
      </c>
      <c r="N91" s="212" t="e">
        <f aca="false">-N84</f>
        <v>#VALUE!</v>
      </c>
      <c r="O91" s="212" t="e">
        <f aca="false">-O84</f>
        <v>#VALUE!</v>
      </c>
      <c r="P91" s="212" t="e">
        <f aca="false">-P84</f>
        <v>#VALUE!</v>
      </c>
      <c r="Q91" s="212" t="e">
        <f aca="false">-Q84</f>
        <v>#VALUE!</v>
      </c>
      <c r="R91" s="212" t="e">
        <f aca="false">-R84</f>
        <v>#VALUE!</v>
      </c>
      <c r="S91" s="212" t="e">
        <f aca="false">-S84</f>
        <v>#VALUE!</v>
      </c>
      <c r="T91" s="212" t="e">
        <f aca="false">-T84</f>
        <v>#VALUE!</v>
      </c>
      <c r="U91" s="212" t="e">
        <f aca="false">-U84</f>
        <v>#VALUE!</v>
      </c>
      <c r="V91" s="212" t="e">
        <f aca="false">-V84</f>
        <v>#VALUE!</v>
      </c>
      <c r="W91" s="212" t="e">
        <f aca="false">-W84</f>
        <v>#VALUE!</v>
      </c>
      <c r="X91" s="212" t="e">
        <f aca="false">-X84</f>
        <v>#VALUE!</v>
      </c>
      <c r="Y91" s="212" t="e">
        <f aca="false">-Y84</f>
        <v>#VALUE!</v>
      </c>
      <c r="Z91" s="212" t="e">
        <f aca="false">-Z84</f>
        <v>#VALUE!</v>
      </c>
      <c r="AA91" s="212" t="e">
        <f aca="false">-AA84</f>
        <v>#VALUE!</v>
      </c>
      <c r="AB91" s="212" t="e">
        <f aca="false">-AB84</f>
        <v>#VALUE!</v>
      </c>
      <c r="AC91" s="212" t="e">
        <f aca="false">-AC84</f>
        <v>#VALUE!</v>
      </c>
      <c r="AD91" s="213" t="e">
        <f aca="false">SUM(D91:AC91)</f>
        <v>#VALUE!</v>
      </c>
    </row>
    <row r="92" customFormat="false" ht="12.75" hidden="false" customHeight="false" outlineLevel="0" collapsed="false">
      <c r="A92" s="29" t="s">
        <v>252</v>
      </c>
      <c r="B92" s="30"/>
      <c r="C92" s="253"/>
      <c r="D92" s="254" t="n">
        <f aca="false">-ASS!$C$59*(1+ASS!$E$59)^(D6-ASS!$C$43)*D7/12</f>
        <v>-0</v>
      </c>
      <c r="E92" s="254" t="n">
        <f aca="false">-ASS!$C$59*(1+ASS!$E$59)^(E6-ASS!$C$43)*E7/12</f>
        <v>-0</v>
      </c>
      <c r="F92" s="254" t="n">
        <f aca="false">-ASS!$C$59*(1+ASS!$E$59)^(F6-ASS!$C$43)*F7/12</f>
        <v>-0</v>
      </c>
      <c r="G92" s="254" t="n">
        <f aca="false">-ASS!$C$59*(1+ASS!$E$59)^(G6-ASS!$C$43)*G7/12</f>
        <v>-0</v>
      </c>
      <c r="H92" s="254" t="n">
        <f aca="false">-ASS!$C$59*(1+ASS!$E$59)^(H6-ASS!$C$43)*H7/12</f>
        <v>-0</v>
      </c>
      <c r="I92" s="254" t="n">
        <f aca="false">-ASS!$C$59*(1+ASS!$E$59)^(I6-ASS!$C$43)*I7/12</f>
        <v>-0</v>
      </c>
      <c r="J92" s="254" t="n">
        <f aca="false">-ASS!$C$59*(1+ASS!$E$59)^(J6-ASS!$C$43)*J7/12</f>
        <v>-0</v>
      </c>
      <c r="K92" s="254" t="n">
        <f aca="false">-ASS!$C$59*(1+ASS!$E$59)^(K6-ASS!$C$43)*K7/12</f>
        <v>-0</v>
      </c>
      <c r="L92" s="254" t="n">
        <f aca="false">-ASS!$C$59*(1+ASS!$E$59)^(L6-ASS!$C$43)*L7/12</f>
        <v>-0</v>
      </c>
      <c r="M92" s="254" t="n">
        <f aca="false">-ASS!$C$59*(1+ASS!$E$59)^(M6-ASS!$C$43)*M7/12</f>
        <v>-0</v>
      </c>
      <c r="N92" s="254" t="n">
        <f aca="false">-ASS!$C$59*(1+ASS!$E$59)^(N6-ASS!$C$43)*N7/12</f>
        <v>-0</v>
      </c>
      <c r="O92" s="254" t="n">
        <f aca="false">-ASS!$C$59*(1+ASS!$E$59)^(O6-ASS!$C$43)*O7/12</f>
        <v>-0</v>
      </c>
      <c r="P92" s="254" t="n">
        <f aca="false">-ASS!$C$59*(1+ASS!$E$59)^(P6-ASS!$C$43)*P7/12</f>
        <v>-0</v>
      </c>
      <c r="Q92" s="254" t="n">
        <f aca="false">-ASS!$C$59*(1+ASS!$E$59)^(Q6-ASS!$C$43)*Q7/12</f>
        <v>-0</v>
      </c>
      <c r="R92" s="254" t="n">
        <f aca="false">-ASS!$C$59*(1+ASS!$E$59)^(R6-ASS!$C$43)*R7/12</f>
        <v>-0</v>
      </c>
      <c r="S92" s="254" t="n">
        <f aca="false">-ASS!$C$59*(1+ASS!$E$59)^(S6-ASS!$C$43)*S7/12</f>
        <v>-0</v>
      </c>
      <c r="T92" s="212" t="n">
        <f aca="false">-ASS!$C$59*(1+ASS!$E$59)^(T6-ASS!$C$43)*T7/12</f>
        <v>-0</v>
      </c>
      <c r="U92" s="212" t="n">
        <f aca="false">-ASS!$C$59*(1+ASS!$E$59)^(U6-ASS!$C$43)*U7/12</f>
        <v>-0</v>
      </c>
      <c r="V92" s="212" t="n">
        <f aca="false">-ASS!$C$59*(1+ASS!$E$59)^(V6-ASS!$C$43)*V7/12</f>
        <v>-0</v>
      </c>
      <c r="W92" s="212" t="n">
        <f aca="false">-ASS!$C$59*(1+ASS!$E$59)^(W6-ASS!$C$43)*W7/12</f>
        <v>-0</v>
      </c>
      <c r="X92" s="212" t="n">
        <f aca="false">-ASS!$C$59*(1+ASS!$E$59)^(X6-ASS!$C$43)*X7/12</f>
        <v>-0</v>
      </c>
      <c r="Y92" s="212" t="n">
        <f aca="false">-ASS!$C$59*(1+ASS!$E$59)^(Y6-ASS!$C$43)*Y7/12</f>
        <v>-0</v>
      </c>
      <c r="Z92" s="212" t="n">
        <f aca="false">-ASS!$C$59*(1+ASS!$E$59)^(Z6-ASS!$C$43)*Z7/12</f>
        <v>-0</v>
      </c>
      <c r="AA92" s="212" t="n">
        <f aca="false">-ASS!$C$59*(1+ASS!$E$59)^(AA6-ASS!$C$43)*AA7/12</f>
        <v>-0</v>
      </c>
      <c r="AB92" s="212" t="n">
        <f aca="false">-ASS!$C$59*(1+ASS!$E$59)^(AB6-ASS!$C$43)*AB7/12</f>
        <v>-0</v>
      </c>
      <c r="AC92" s="212" t="n">
        <f aca="false">-ASS!$C$59*(1+ASS!$E$59)^(AC6-ASS!$C$43)*AC7/12</f>
        <v>-0</v>
      </c>
      <c r="AD92" s="213"/>
    </row>
    <row r="93" customFormat="false" ht="12.75" hidden="false" customHeight="false" outlineLevel="0" collapsed="false">
      <c r="A93" s="29" t="s">
        <v>253</v>
      </c>
      <c r="B93" s="30"/>
      <c r="C93" s="253"/>
      <c r="D93" s="254" t="n">
        <f aca="false">IF(-D92&gt;D64,D64,IF(D64&gt;(BS_IS!F9+(-D92)),BS_IS!F9+(-D92),D64))</f>
        <v>0</v>
      </c>
      <c r="E93" s="254" t="n">
        <f aca="false">IF(-E92&gt;E64,E64,IF(E64&gt;(BS_IS!G9+(-E92)),BS_IS!G9+(-E92),E64))</f>
        <v>0</v>
      </c>
      <c r="F93" s="254" t="n">
        <f aca="false">IF(-F92&gt;F64,F64,IF(F64&gt;(BS_IS!H9+(-F92)),BS_IS!H9+(-F92),F64))</f>
        <v>0</v>
      </c>
      <c r="G93" s="254" t="n">
        <f aca="false">IF(-G92&gt;G64,G64,IF(G64&gt;(BS_IS!I9+(-G92)),BS_IS!I9+(-G92),G64))</f>
        <v>0</v>
      </c>
      <c r="H93" s="254" t="n">
        <f aca="false">IF(-H92&gt;H64,H64,IF(H64&gt;(BS_IS!J9+(-H92)),BS_IS!J9+(-H92),H64))</f>
        <v>0</v>
      </c>
      <c r="I93" s="254" t="n">
        <f aca="false">IF(-I92&gt;I64,I64,IF(I64&gt;(BS_IS!K9+(-I92)),BS_IS!K9+(-I92),I64))</f>
        <v>0</v>
      </c>
      <c r="J93" s="254" t="n">
        <f aca="false">IF(-J92&gt;J64,J64,IF(J64&gt;(BS_IS!L9+(-J92)),BS_IS!L9+(-J92),J64))</f>
        <v>0</v>
      </c>
      <c r="K93" s="254" t="n">
        <f aca="false">IF(-K92&gt;K64,K64,IF(K64&gt;(BS_IS!M9+(-K92)),BS_IS!M9+(-K92),K64))</f>
        <v>0</v>
      </c>
      <c r="L93" s="254" t="n">
        <f aca="false">IF(-L92&gt;L64,L64,IF(L64&gt;(BS_IS!N9+(-L92)),BS_IS!N9+(-L92),L64))</f>
        <v>0</v>
      </c>
      <c r="M93" s="254" t="n">
        <f aca="false">IF(-M92&gt;M64,M64,IF(M64&gt;(BS_IS!O9+(-M92)),BS_IS!O9+(-M92),M64))</f>
        <v>0</v>
      </c>
      <c r="N93" s="254" t="n">
        <f aca="false">IF(-N92&gt;N64,N64,IF(N64&gt;(BS_IS!P9+(-N92)),BS_IS!P9+(-N92),N64))</f>
        <v>0</v>
      </c>
      <c r="O93" s="254" t="n">
        <f aca="false">IF(-O92&gt;O64,O64,IF(O64&gt;(BS_IS!Q9+(-O92)),BS_IS!Q9+(-O92),O64))</f>
        <v>0</v>
      </c>
      <c r="P93" s="254" t="n">
        <f aca="false">IF(-P92&gt;P64,P64,IF(P64&gt;(BS_IS!R9+(-P92)),BS_IS!R9+(-P92),P64))</f>
        <v>0</v>
      </c>
      <c r="Q93" s="254" t="n">
        <f aca="false">IF(-Q92&gt;Q64,Q64,IF(Q64&gt;(BS_IS!S9+(-Q92)),BS_IS!S9+(-Q92),Q64))</f>
        <v>0</v>
      </c>
      <c r="R93" s="254" t="n">
        <f aca="false">IF(-R92&gt;R64,R64,IF(R64&gt;(BS_IS!T9+(-R92)),BS_IS!T9+(-R92),R64))</f>
        <v>0</v>
      </c>
      <c r="S93" s="254" t="n">
        <f aca="false">IF(-S92&gt;S64,S64,IF(S64&gt;(BS_IS!U9+(-S92)),BS_IS!U9+(-S92),S64))</f>
        <v>0</v>
      </c>
      <c r="T93" s="212" t="n">
        <f aca="false">IF(-T92&gt;T64,T64,IF(T64&gt;(BS_IS!V9+(-T92)),BS_IS!V9+(-T92),T64))</f>
        <v>0</v>
      </c>
      <c r="U93" s="212" t="n">
        <f aca="false">IF(-U92&gt;U64,U64,IF(U64&gt;(BS_IS!W9+(-U92)),BS_IS!W9+(-U92),U64))</f>
        <v>0</v>
      </c>
      <c r="V93" s="212" t="n">
        <f aca="false">IF(-V92&gt;V64,V64,IF(V64&gt;(BS_IS!X9+(-V92)),BS_IS!X9+(-V92),V64))</f>
        <v>0</v>
      </c>
      <c r="W93" s="212" t="n">
        <f aca="false">IF(-W92&gt;W64,W64,IF(W64&gt;(BS_IS!Y9+(-W92)),BS_IS!Y9+(-W92),W64))</f>
        <v>0</v>
      </c>
      <c r="X93" s="212" t="n">
        <f aca="false">IF(-X92&gt;X64,X64,IF(X64&gt;(BS_IS!Z9+(-X92)),BS_IS!Z9+(-X92),X64))</f>
        <v>0</v>
      </c>
      <c r="Y93" s="212" t="n">
        <f aca="false">IF(-Y92&gt;Y64,Y64,IF(Y64&gt;(BS_IS!AA9+(-Y92)),BS_IS!AA9+(-Y92),Y64))</f>
        <v>0</v>
      </c>
      <c r="Z93" s="212" t="n">
        <f aca="false">IF(-Z92&gt;Z64,Z64,IF(Z64&gt;(BS_IS!AB9+(-Z92)),BS_IS!AB9+(-Z92),Z64))</f>
        <v>0</v>
      </c>
      <c r="AA93" s="212" t="n">
        <f aca="false">IF(-AA92&gt;AA64,AA64,IF(AA64&gt;(BS_IS!AC9+(-AA92)),BS_IS!AC9+(-AA92),AA64))</f>
        <v>0</v>
      </c>
      <c r="AB93" s="212" t="n">
        <f aca="false">IF(-AB92&gt;AB64,AB64,IF(AB64&gt;(BS_IS!AD9+(-AB92)),BS_IS!AD9+(-AB92),AB64))</f>
        <v>0</v>
      </c>
      <c r="AC93" s="212" t="n">
        <f aca="false">IF(-AC92&gt;AC64,AC64,IF(AC64&gt;(BS_IS!AE9+(-AC92)),BS_IS!AE9+(-AC92),AC64))</f>
        <v>0</v>
      </c>
      <c r="AD93" s="213"/>
    </row>
    <row r="94" customFormat="false" ht="12.75" hidden="false" customHeight="false" outlineLevel="0" collapsed="false">
      <c r="A94" s="29" t="s">
        <v>254</v>
      </c>
      <c r="B94" s="30"/>
      <c r="C94" s="30"/>
      <c r="D94" s="212" t="e">
        <f aca="false">-TAXES_FEES!D17</f>
        <v>#REF!</v>
      </c>
      <c r="E94" s="212" t="e">
        <f aca="false">-TAXES_FEES!E17</f>
        <v>#REF!</v>
      </c>
      <c r="F94" s="212" t="e">
        <f aca="false">-TAXES_FEES!F17</f>
        <v>#REF!</v>
      </c>
      <c r="G94" s="212" t="e">
        <f aca="false">-TAXES_FEES!G17</f>
        <v>#REF!</v>
      </c>
      <c r="H94" s="212" t="e">
        <f aca="false">-TAXES_FEES!H17</f>
        <v>#REF!</v>
      </c>
      <c r="I94" s="212" t="e">
        <f aca="false">-TAXES_FEES!I17</f>
        <v>#REF!</v>
      </c>
      <c r="J94" s="212" t="e">
        <f aca="false">-TAXES_FEES!J17</f>
        <v>#REF!</v>
      </c>
      <c r="K94" s="212" t="e">
        <f aca="false">-TAXES_FEES!K17</f>
        <v>#REF!</v>
      </c>
      <c r="L94" s="212" t="e">
        <f aca="false">-TAXES_FEES!L17</f>
        <v>#REF!</v>
      </c>
      <c r="M94" s="212" t="e">
        <f aca="false">-TAXES_FEES!M17</f>
        <v>#REF!</v>
      </c>
      <c r="N94" s="212" t="e">
        <f aca="false">-TAXES_FEES!N17</f>
        <v>#REF!</v>
      </c>
      <c r="O94" s="212" t="e">
        <f aca="false">-TAXES_FEES!O17</f>
        <v>#REF!</v>
      </c>
      <c r="P94" s="212" t="e">
        <f aca="false">-TAXES_FEES!P17</f>
        <v>#REF!</v>
      </c>
      <c r="Q94" s="212" t="e">
        <f aca="false">-TAXES_FEES!Q17</f>
        <v>#REF!</v>
      </c>
      <c r="R94" s="212" t="e">
        <f aca="false">-TAXES_FEES!R17</f>
        <v>#REF!</v>
      </c>
      <c r="S94" s="212" t="e">
        <f aca="false">-TAXES_FEES!S17</f>
        <v>#VALUE!</v>
      </c>
      <c r="T94" s="212" t="e">
        <f aca="false">-TAXES_FEES!T17</f>
        <v>#REF!</v>
      </c>
      <c r="U94" s="212" t="e">
        <f aca="false">-TAXES_FEES!U17</f>
        <v>#REF!</v>
      </c>
      <c r="V94" s="212" t="e">
        <f aca="false">-TAXES_FEES!V17</f>
        <v>#REF!</v>
      </c>
      <c r="W94" s="212" t="e">
        <f aca="false">-TAXES_FEES!W17</f>
        <v>#REF!</v>
      </c>
      <c r="X94" s="212" t="e">
        <f aca="false">-TAXES_FEES!X17</f>
        <v>#REF!</v>
      </c>
      <c r="Y94" s="212" t="e">
        <f aca="false">-TAXES_FEES!Y17</f>
        <v>#REF!</v>
      </c>
      <c r="Z94" s="212" t="e">
        <f aca="false">-TAXES_FEES!Z17</f>
        <v>#REF!</v>
      </c>
      <c r="AA94" s="212" t="e">
        <f aca="false">-TAXES_FEES!AA17</f>
        <v>#REF!</v>
      </c>
      <c r="AB94" s="212" t="e">
        <f aca="false">-TAXES_FEES!AB17</f>
        <v>#REF!</v>
      </c>
      <c r="AC94" s="212" t="e">
        <f aca="false">-TAXES_FEES!AC17</f>
        <v>#REF!</v>
      </c>
      <c r="AD94" s="213" t="e">
        <f aca="false">SUM(D94:AC94)</f>
        <v>#REF!</v>
      </c>
      <c r="AE94" s="255" t="e">
        <f aca="false">IF(ABS(-AD94-TAXES_FEES!$AD$17)&lt;0.01," ","CHECK:  TOTAL CASH TAXES DOES NOT MATCH TOTAL CASH TAXES CALCD")</f>
        <v>#REF!</v>
      </c>
      <c r="AF94" s="256"/>
    </row>
    <row r="95" customFormat="false" ht="12.75" hidden="false" customHeight="false" outlineLevel="0" collapsed="false">
      <c r="A95" s="29" t="s">
        <v>255</v>
      </c>
      <c r="B95" s="30"/>
      <c r="C95" s="30"/>
      <c r="D95" s="212" t="e">
        <f aca="false">-FIN!D11</f>
        <v>#REF!</v>
      </c>
      <c r="E95" s="212" t="e">
        <f aca="false">-FIN!E11</f>
        <v>#REF!</v>
      </c>
      <c r="F95" s="212" t="e">
        <f aca="false">-FIN!F11</f>
        <v>#REF!</v>
      </c>
      <c r="G95" s="212" t="e">
        <f aca="false">-FIN!G11</f>
        <v>#REF!</v>
      </c>
      <c r="H95" s="212" t="e">
        <f aca="false">-FIN!H11</f>
        <v>#REF!</v>
      </c>
      <c r="I95" s="212" t="e">
        <f aca="false">-FIN!I11</f>
        <v>#REF!</v>
      </c>
      <c r="J95" s="212" t="e">
        <f aca="false">-FIN!J11</f>
        <v>#REF!</v>
      </c>
      <c r="K95" s="212" t="e">
        <f aca="false">-FIN!K11</f>
        <v>#REF!</v>
      </c>
      <c r="L95" s="212" t="e">
        <f aca="false">-FIN!L11</f>
        <v>#REF!</v>
      </c>
      <c r="M95" s="212" t="e">
        <f aca="false">-FIN!M11</f>
        <v>#REF!</v>
      </c>
      <c r="N95" s="212" t="e">
        <f aca="false">-FIN!N11</f>
        <v>#REF!</v>
      </c>
      <c r="O95" s="212" t="e">
        <f aca="false">-FIN!O11</f>
        <v>#REF!</v>
      </c>
      <c r="P95" s="212" t="e">
        <f aca="false">-FIN!P11</f>
        <v>#REF!</v>
      </c>
      <c r="Q95" s="212" t="e">
        <f aca="false">-FIN!Q11</f>
        <v>#REF!</v>
      </c>
      <c r="R95" s="212" t="e">
        <f aca="false">-FIN!R11</f>
        <v>#REF!</v>
      </c>
      <c r="S95" s="212" t="e">
        <f aca="false">-FIN!S11</f>
        <v>#REF!</v>
      </c>
      <c r="T95" s="212" t="e">
        <f aca="false">-FIN!T11</f>
        <v>#REF!</v>
      </c>
      <c r="U95" s="212" t="e">
        <f aca="false">-FIN!U11</f>
        <v>#REF!</v>
      </c>
      <c r="V95" s="212" t="e">
        <f aca="false">-FIN!V11</f>
        <v>#REF!</v>
      </c>
      <c r="W95" s="212" t="e">
        <f aca="false">-FIN!W11</f>
        <v>#REF!</v>
      </c>
      <c r="X95" s="212" t="e">
        <f aca="false">-FIN!X11</f>
        <v>#REF!</v>
      </c>
      <c r="Y95" s="212" t="e">
        <f aca="false">-FIN!Y11</f>
        <v>#REF!</v>
      </c>
      <c r="Z95" s="212" t="e">
        <f aca="false">-FIN!Z11</f>
        <v>#REF!</v>
      </c>
      <c r="AA95" s="212" t="e">
        <f aca="false">-FIN!AA11</f>
        <v>#REF!</v>
      </c>
      <c r="AB95" s="212" t="e">
        <f aca="false">-FIN!AB11</f>
        <v>#REF!</v>
      </c>
      <c r="AC95" s="212" t="e">
        <f aca="false">-FIN!AC11</f>
        <v>#REF!</v>
      </c>
      <c r="AD95" s="213" t="e">
        <f aca="false">SUM(D95:AC95)</f>
        <v>#REF!</v>
      </c>
      <c r="AE95" s="255" t="e">
        <f aca="false">IF(ABS(-$AD$95-DEBT)&lt;0.01," ","CHECK:  DOES NOT EQUAL PRINCIPAL PAYMENTS MADE")</f>
        <v>#REF!</v>
      </c>
      <c r="AF95" s="256"/>
    </row>
    <row r="96" customFormat="false" ht="12.75" hidden="false" customHeight="false" outlineLevel="0" collapsed="false">
      <c r="A96" s="257" t="s">
        <v>256</v>
      </c>
      <c r="B96" s="258"/>
      <c r="C96" s="258"/>
      <c r="D96" s="259" t="e">
        <f aca="false">SUM(D86:D95)</f>
        <v>#REF!</v>
      </c>
      <c r="E96" s="259" t="e">
        <f aca="false">SUM(E86:E95)</f>
        <v>#REF!</v>
      </c>
      <c r="F96" s="259" t="e">
        <f aca="false">SUM(F86:F95)</f>
        <v>#REF!</v>
      </c>
      <c r="G96" s="259" t="e">
        <f aca="false">SUM(G86:G95)</f>
        <v>#REF!</v>
      </c>
      <c r="H96" s="259" t="e">
        <f aca="false">SUM(H86:H95)</f>
        <v>#REF!</v>
      </c>
      <c r="I96" s="259" t="e">
        <f aca="false">SUM(I86:I95)</f>
        <v>#REF!</v>
      </c>
      <c r="J96" s="259" t="e">
        <f aca="false">SUM(J86:J95)</f>
        <v>#REF!</v>
      </c>
      <c r="K96" s="259" t="e">
        <f aca="false">SUM(K86:K95)</f>
        <v>#REF!</v>
      </c>
      <c r="L96" s="259" t="e">
        <f aca="false">SUM(L86:L95)</f>
        <v>#REF!</v>
      </c>
      <c r="M96" s="259" t="e">
        <f aca="false">SUM(M86:M95)</f>
        <v>#REF!</v>
      </c>
      <c r="N96" s="259" t="e">
        <f aca="false">SUM(N86:N95)</f>
        <v>#REF!</v>
      </c>
      <c r="O96" s="259" t="e">
        <f aca="false">SUM(O86:O95)</f>
        <v>#REF!</v>
      </c>
      <c r="P96" s="259" t="e">
        <f aca="false">SUM(P86:P95)</f>
        <v>#REF!</v>
      </c>
      <c r="Q96" s="259" t="e">
        <f aca="false">SUM(Q86:Q95)</f>
        <v>#REF!</v>
      </c>
      <c r="R96" s="259" t="e">
        <f aca="false">SUM(R86:R95)</f>
        <v>#REF!</v>
      </c>
      <c r="S96" s="259" t="e">
        <f aca="false">SUM(S86:S95)</f>
        <v>#VALUE!</v>
      </c>
      <c r="T96" s="259" t="e">
        <f aca="false">SUM(T86:T95)</f>
        <v>#REF!</v>
      </c>
      <c r="U96" s="259" t="e">
        <f aca="false">SUM(U86:U95)</f>
        <v>#REF!</v>
      </c>
      <c r="V96" s="259" t="e">
        <f aca="false">SUM(V86:V95)</f>
        <v>#REF!</v>
      </c>
      <c r="W96" s="259" t="e">
        <f aca="false">SUM(W86:W95)</f>
        <v>#REF!</v>
      </c>
      <c r="X96" s="259" t="e">
        <f aca="false">SUM(X86:X95)</f>
        <v>#REF!</v>
      </c>
      <c r="Y96" s="259" t="e">
        <f aca="false">SUM(Y86:Y95)</f>
        <v>#REF!</v>
      </c>
      <c r="Z96" s="259" t="e">
        <f aca="false">SUM(Z86:Z95)</f>
        <v>#REF!</v>
      </c>
      <c r="AA96" s="259" t="e">
        <f aca="false">SUM(AA86:AA95)</f>
        <v>#REF!</v>
      </c>
      <c r="AB96" s="259" t="e">
        <f aca="false">SUM(AB86:AB95)</f>
        <v>#REF!</v>
      </c>
      <c r="AC96" s="259" t="e">
        <f aca="false">SUM(AC86:AC95)</f>
        <v>#REF!</v>
      </c>
      <c r="AD96" s="260" t="e">
        <f aca="false">SUM(AD86:AD95)</f>
        <v>#REF!</v>
      </c>
    </row>
    <row r="97" customFormat="false" ht="12.75" hidden="false" customHeight="false" outlineLevel="0" collapsed="false">
      <c r="A97" s="29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58"/>
      <c r="AD97" s="207"/>
    </row>
    <row r="98" customFormat="false" ht="12.75" hidden="false" customHeight="false" outlineLevel="0" collapsed="false">
      <c r="A98" s="171" t="s">
        <v>257</v>
      </c>
      <c r="B98" s="124" t="s">
        <v>258</v>
      </c>
      <c r="C98" s="124"/>
      <c r="D98" s="261" t="n">
        <f aca="false">IF(equityperc&gt;0.99,0,IF(D5&gt;MAX(ASS!$X$35,ASS!$X$43,ASS!$X$51,ASS!$X$59,ASS!$X$67,ASS!$X$75),"n/a",(D76+D64)/(FIN!D12-TAXES_FEES!D13)))</f>
        <v>0</v>
      </c>
      <c r="E98" s="261" t="n">
        <f aca="false">IF(equityperc&gt;0.99,0,IF(E5&gt;MAX(ASS!$X$35,ASS!$X$43,ASS!$X$51,ASS!$X$59,ASS!$X$67,ASS!$X$75),"n/a",(E76+E64)/(FIN!E12-TAXES_FEES!E13)))</f>
        <v>0</v>
      </c>
      <c r="F98" s="261" t="n">
        <f aca="false">IF(equityperc&gt;0.99,0,IF(F5&gt;MAX(ASS!$X$35,ASS!$X$43,ASS!$X$51,ASS!$X$59,ASS!$X$67,ASS!$X$75),"n/a",(F76+F64)/(FIN!F12-TAXES_FEES!F13)))</f>
        <v>0</v>
      </c>
      <c r="G98" s="261" t="n">
        <f aca="false">IF(equityperc&gt;0.99,0,IF(G5&gt;MAX(ASS!$X$35,ASS!$X$43,ASS!$X$51,ASS!$X$59,ASS!$X$67,ASS!$X$75),"n/a",(G76+G64)/(FIN!G12-TAXES_FEES!G13)))</f>
        <v>0</v>
      </c>
      <c r="H98" s="261" t="n">
        <f aca="false">IF(equityperc&gt;0.99,0,IF(H5&gt;MAX(ASS!$X$35,ASS!$X$43,ASS!$X$51,ASS!$X$59,ASS!$X$67,ASS!$X$75),"n/a",(H76+H64)/(FIN!H12-TAXES_FEES!H13)))</f>
        <v>0</v>
      </c>
      <c r="I98" s="261" t="n">
        <f aca="false">IF(equityperc&gt;0.99,0,IF(I5&gt;MAX(ASS!$X$35,ASS!$X$43,ASS!$X$51,ASS!$X$59,ASS!$X$67,ASS!$X$75),"n/a",(I76+I64)/(FIN!I12-TAXES_FEES!I13)))</f>
        <v>0</v>
      </c>
      <c r="J98" s="261" t="n">
        <f aca="false">IF(equityperc&gt;0.99,0,IF(J5&gt;MAX(ASS!$X$35,ASS!$X$43,ASS!$X$51,ASS!$X$59,ASS!$X$67,ASS!$X$75),"n/a",(J76+J64)/(FIN!J12-TAXES_FEES!J13)))</f>
        <v>0</v>
      </c>
      <c r="K98" s="261" t="n">
        <f aca="false">IF(equityperc&gt;0.99,0,IF(K5&gt;MAX(ASS!$X$35,ASS!$X$43,ASS!$X$51,ASS!$X$59,ASS!$X$67,ASS!$X$75),"n/a",(K76+K64)/(FIN!K12-TAXES_FEES!K13)))</f>
        <v>0</v>
      </c>
      <c r="L98" s="261" t="n">
        <f aca="false">IF(equityperc&gt;0.99,0,IF(L5&gt;MAX(ASS!$X$35,ASS!$X$43,ASS!$X$51,ASS!$X$59,ASS!$X$67,ASS!$X$75),"n/a",(L76+L64)/(FIN!L12-TAXES_FEES!L13)))</f>
        <v>0</v>
      </c>
      <c r="M98" s="261" t="n">
        <f aca="false">IF(equityperc&gt;0.99,0,IF(M5&gt;MAX(ASS!$X$35,ASS!$X$43,ASS!$X$51,ASS!$X$59,ASS!$X$67,ASS!$X$75),"n/a",(M76+M64)/(FIN!M12-TAXES_FEES!M13)))</f>
        <v>0</v>
      </c>
      <c r="N98" s="261" t="n">
        <f aca="false">IF(equityperc&gt;0.99,0,IF(N5&gt;MAX(ASS!$X$35,ASS!$X$43,ASS!$X$51,ASS!$X$59,ASS!$X$67,ASS!$X$75),"n/a",(N76+N64)/(FIN!N12-TAXES_FEES!N13)))</f>
        <v>0</v>
      </c>
      <c r="O98" s="261" t="n">
        <f aca="false">IF(equityperc&gt;0.99,0,IF(O5&gt;MAX(ASS!$X$35,ASS!$X$43,ASS!$X$51,ASS!$X$59,ASS!$X$67,ASS!$X$75),"n/a",(O76+O64)/(FIN!O12-TAXES_FEES!O13)))</f>
        <v>0</v>
      </c>
      <c r="P98" s="261" t="n">
        <f aca="false">IF(equityperc&gt;0.99,0,IF(P5&gt;MAX(ASS!$X$35,ASS!$X$43,ASS!$X$51,ASS!$X$59,ASS!$X$67,ASS!$X$75),"n/a",(P76+P64)/(FIN!P12-TAXES_FEES!P13)))</f>
        <v>0</v>
      </c>
      <c r="Q98" s="261" t="n">
        <f aca="false">IF(equityperc&gt;0.99,0,IF(Q5&gt;MAX(ASS!$X$35,ASS!$X$43,ASS!$X$51,ASS!$X$59,ASS!$X$67,ASS!$X$75),"n/a",(Q76+Q64)/(FIN!Q12-TAXES_FEES!Q13)))</f>
        <v>0</v>
      </c>
      <c r="R98" s="261" t="n">
        <f aca="false">IF(equityperc&gt;0.99,0,IF(R5&gt;MAX(ASS!$X$35,ASS!$X$43,ASS!$X$51,ASS!$X$59,ASS!$X$67,ASS!$X$75),"n/a",(R76+R64)/(FIN!R12-TAXES_FEES!R13)))</f>
        <v>0</v>
      </c>
      <c r="S98" s="261" t="n">
        <f aca="false">IF(equityperc&gt;0.99,0,IF(S5&gt;MAX(ASS!$X$35,ASS!$X$43,ASS!$X$51,ASS!$X$59,ASS!$X$67,ASS!$X$75),"n/a",(S76+S64)/(FIN!S12-TAXES_FEES!S13)))</f>
        <v>0</v>
      </c>
      <c r="T98" s="261" t="n">
        <f aca="false">IF(equityperc&gt;0.99,0,IF(T5&gt;MAX(ASS!$X$35,ASS!$X$43,ASS!$X$51,ASS!$X$59,ASS!$X$67,ASS!$X$75),"n/a",(T76+T64)/(FIN!T12-TAXES_FEES!T13)))</f>
        <v>0</v>
      </c>
      <c r="U98" s="261" t="n">
        <f aca="false">IF(equityperc&gt;0.99,0,IF(U5&gt;MAX(ASS!$X$35,ASS!$X$43,ASS!$X$51,ASS!$X$59,ASS!$X$67,ASS!$X$75),"n/a",(U76+U64)/(FIN!U12-TAXES_FEES!U13)))</f>
        <v>0</v>
      </c>
      <c r="V98" s="261" t="n">
        <f aca="false">IF(equityperc&gt;0.99,0,IF(V5&gt;MAX(ASS!$X$35,ASS!$X$43,ASS!$X$51,ASS!$X$59,ASS!$X$67,ASS!$X$75),"n/a",(V76+V64)/(FIN!V12-TAXES_FEES!V13)))</f>
        <v>0</v>
      </c>
      <c r="W98" s="261" t="n">
        <f aca="false">IF(equityperc&gt;0.99,0,IF(W5&gt;MAX(ASS!$X$35,ASS!$X$43,ASS!$X$51,ASS!$X$59,ASS!$X$67,ASS!$X$75),"n/a",(W76+W64)/(FIN!W12-TAXES_FEES!W13)))</f>
        <v>0</v>
      </c>
      <c r="X98" s="261" t="n">
        <f aca="false">IF(equityperc&gt;0.99,0,IF(X5&gt;MAX(ASS!$X$35,ASS!$X$43,ASS!$X$51,ASS!$X$59,ASS!$X$67,ASS!$X$75),"n/a",(X76+X64)/(FIN!X12-TAXES_FEES!X13)))</f>
        <v>0</v>
      </c>
      <c r="Y98" s="261" t="n">
        <f aca="false">IF(equityperc&gt;0.99,0,IF(Y5&gt;MAX(ASS!$X$35,ASS!$X$43,ASS!$X$51,ASS!$X$59,ASS!$X$67,ASS!$X$75),"n/a",(Y76+Y64)/(FIN!Y12-TAXES_FEES!Y13)))</f>
        <v>0</v>
      </c>
      <c r="Z98" s="261" t="n">
        <f aca="false">IF(equityperc&gt;0.99,0,IF(Z5&gt;MAX(ASS!$X$35,ASS!$X$43,ASS!$X$51,ASS!$X$59,ASS!$X$67,ASS!$X$75),"n/a",(Z76+Z64)/(FIN!Z12-TAXES_FEES!Z13)))</f>
        <v>0</v>
      </c>
      <c r="AA98" s="261" t="n">
        <f aca="false">IF(equityperc&gt;0.99,0,IF(AA5&gt;MAX(ASS!$X$35,ASS!$X$43,ASS!$X$51,ASS!$X$59,ASS!$X$67,ASS!$X$75),"n/a",(AA76+AA64)/(FIN!AA12-TAXES_FEES!AA13)))</f>
        <v>0</v>
      </c>
      <c r="AB98" s="261" t="n">
        <f aca="false">IF(equityperc&gt;0.99,0,IF(AB5&gt;MAX(ASS!$X$35,ASS!$X$43,ASS!$X$51,ASS!$X$59,ASS!$X$67,ASS!$X$75),"n/a",(AB76+AB64)/(FIN!AB12-TAXES_FEES!AB13)))</f>
        <v>0</v>
      </c>
      <c r="AC98" s="261" t="n">
        <f aca="false">IF(equityperc&gt;0.99,0,IF(AC5&gt;MAX(ASS!$X$35,ASS!$X$43,ASS!$X$51,ASS!$X$59,ASS!$X$67,ASS!$X$75),"n/a",(AC76+AC64)/(FIN!AC12-TAXES_FEES!AC13)))</f>
        <v>0</v>
      </c>
      <c r="AD98" s="207"/>
    </row>
    <row r="99" customFormat="false" ht="12.75" hidden="false" customHeight="false" outlineLevel="0" collapsed="false">
      <c r="A99" s="57" t="s">
        <v>259</v>
      </c>
      <c r="B99" s="58" t="s">
        <v>260</v>
      </c>
      <c r="C99" s="58"/>
      <c r="D99" s="262" t="n">
        <f aca="false">IF(equityperc&gt;0.99,0,IF(D5&gt;MAX(ASS!$X$35,ASS!$X$43,ASS!$X$51,ASS!$X$59,ASS!$X$67,ASS!$X$75),"n/a",(D76+D94+D64)/(FIN!D12-TAXES_FEES!D13)))</f>
        <v>0</v>
      </c>
      <c r="E99" s="262" t="n">
        <f aca="false">IF(equityperc&gt;0.99,0,IF(E5&gt;MAX(ASS!$X$35,ASS!$X$43,ASS!$X$51,ASS!$X$59,ASS!$X$67,ASS!$X$75),"n/a",(E76+E94+E64)/(FIN!E12-TAXES_FEES!E13)))</f>
        <v>0</v>
      </c>
      <c r="F99" s="262" t="n">
        <f aca="false">IF(equityperc&gt;0.99,0,IF(F5&gt;MAX(ASS!$X$35,ASS!$X$43,ASS!$X$51,ASS!$X$59,ASS!$X$67,ASS!$X$75),"n/a",(F76+F94+F64)/(FIN!F12-TAXES_FEES!F13)))</f>
        <v>0</v>
      </c>
      <c r="G99" s="262" t="n">
        <f aca="false">IF(equityperc&gt;0.99,0,IF(G5&gt;MAX(ASS!$X$35,ASS!$X$43,ASS!$X$51,ASS!$X$59,ASS!$X$67,ASS!$X$75),"n/a",(G76+G94+G64)/(FIN!G12-TAXES_FEES!G13)))</f>
        <v>0</v>
      </c>
      <c r="H99" s="262" t="n">
        <f aca="false">IF(equityperc&gt;0.99,0,IF(H5&gt;MAX(ASS!$X$35,ASS!$X$43,ASS!$X$51,ASS!$X$59,ASS!$X$67,ASS!$X$75),"n/a",(H76+H94+H64)/(FIN!H12-TAXES_FEES!H13)))</f>
        <v>0</v>
      </c>
      <c r="I99" s="262" t="n">
        <f aca="false">IF(equityperc&gt;0.99,0,IF(I5&gt;MAX(ASS!$X$35,ASS!$X$43,ASS!$X$51,ASS!$X$59,ASS!$X$67,ASS!$X$75),"n/a",(I76+I94+I64)/(FIN!I12-TAXES_FEES!I13)))</f>
        <v>0</v>
      </c>
      <c r="J99" s="262" t="n">
        <f aca="false">IF(equityperc&gt;0.99,0,IF(J5&gt;MAX(ASS!$X$35,ASS!$X$43,ASS!$X$51,ASS!$X$59,ASS!$X$67,ASS!$X$75),"n/a",(J76+J94+J64)/(FIN!J12-TAXES_FEES!J13)))</f>
        <v>0</v>
      </c>
      <c r="K99" s="262" t="n">
        <f aca="false">IF(equityperc&gt;0.99,0,IF(K5&gt;MAX(ASS!$X$35,ASS!$X$43,ASS!$X$51,ASS!$X$59,ASS!$X$67,ASS!$X$75),"n/a",(K76+K94+K64)/(FIN!K12-TAXES_FEES!K13)))</f>
        <v>0</v>
      </c>
      <c r="L99" s="262" t="n">
        <f aca="false">IF(equityperc&gt;0.99,0,IF(L5&gt;MAX(ASS!$X$35,ASS!$X$43,ASS!$X$51,ASS!$X$59,ASS!$X$67,ASS!$X$75),"n/a",(L76+L94+L64)/(FIN!L12-TAXES_FEES!L13)))</f>
        <v>0</v>
      </c>
      <c r="M99" s="262" t="n">
        <f aca="false">IF(equityperc&gt;0.99,0,IF(M5&gt;MAX(ASS!$X$35,ASS!$X$43,ASS!$X$51,ASS!$X$59,ASS!$X$67,ASS!$X$75),"n/a",(M76+M94+M64)/(FIN!M12-TAXES_FEES!M13)))</f>
        <v>0</v>
      </c>
      <c r="N99" s="262" t="n">
        <f aca="false">IF(equityperc&gt;0.99,0,IF(N5&gt;MAX(ASS!$X$35,ASS!$X$43,ASS!$X$51,ASS!$X$59,ASS!$X$67,ASS!$X$75),"n/a",(N76+N94+N64)/(FIN!N12-TAXES_FEES!N13)))</f>
        <v>0</v>
      </c>
      <c r="O99" s="262" t="n">
        <f aca="false">IF(equityperc&gt;0.99,0,IF(O5&gt;MAX(ASS!$X$35,ASS!$X$43,ASS!$X$51,ASS!$X$59,ASS!$X$67,ASS!$X$75),"n/a",(O76+O94+O64)/(FIN!O12-TAXES_FEES!O13)))</f>
        <v>0</v>
      </c>
      <c r="P99" s="262" t="n">
        <f aca="false">IF(equityperc&gt;0.99,0,IF(P5&gt;MAX(ASS!$X$35,ASS!$X$43,ASS!$X$51,ASS!$X$59,ASS!$X$67,ASS!$X$75),"n/a",(P76+P94+P64)/(FIN!P12-TAXES_FEES!P13)))</f>
        <v>0</v>
      </c>
      <c r="Q99" s="262" t="n">
        <f aca="false">IF(equityperc&gt;0.99,0,IF(Q5&gt;MAX(ASS!$X$35,ASS!$X$43,ASS!$X$51,ASS!$X$59,ASS!$X$67,ASS!$X$75),"n/a",(Q76+Q94+Q64)/(FIN!Q12-TAXES_FEES!Q13)))</f>
        <v>0</v>
      </c>
      <c r="R99" s="262" t="n">
        <f aca="false">IF(equityperc&gt;0.99,0,IF(R5&gt;MAX(ASS!$X$35,ASS!$X$43,ASS!$X$51,ASS!$X$59,ASS!$X$67,ASS!$X$75),"n/a",(R76+R94+R64)/(FIN!R12-TAXES_FEES!R13)))</f>
        <v>0</v>
      </c>
      <c r="S99" s="262" t="n">
        <f aca="false">IF(equityperc&gt;0.99,0,IF(S5&gt;MAX(ASS!$X$35,ASS!$X$43,ASS!$X$51,ASS!$X$59,ASS!$X$67,ASS!$X$75),"n/a",(S76+S94+S64)/(FIN!S12-TAXES_FEES!S13)))</f>
        <v>0</v>
      </c>
      <c r="T99" s="262" t="n">
        <f aca="false">IF(equityperc&gt;0.99,0,IF(T5&gt;MAX(ASS!$X$35,ASS!$X$43,ASS!$X$51,ASS!$X$59,ASS!$X$67,ASS!$X$75),"n/a",(T76+T94+T64)/(FIN!T12-TAXES_FEES!T13)))</f>
        <v>0</v>
      </c>
      <c r="U99" s="262" t="n">
        <f aca="false">IF(equityperc&gt;0.99,0,IF(U5&gt;MAX(ASS!$X$35,ASS!$X$43,ASS!$X$51,ASS!$X$59,ASS!$X$67,ASS!$X$75),"n/a",(U76+U94+U64)/(FIN!U12-TAXES_FEES!U13)))</f>
        <v>0</v>
      </c>
      <c r="V99" s="262" t="n">
        <f aca="false">IF(equityperc&gt;0.99,0,IF(V5&gt;MAX(ASS!$X$35,ASS!$X$43,ASS!$X$51,ASS!$X$59,ASS!$X$67,ASS!$X$75),"n/a",(V76+V94+V64)/(FIN!V12-TAXES_FEES!V13)))</f>
        <v>0</v>
      </c>
      <c r="W99" s="262" t="n">
        <f aca="false">IF(equityperc&gt;0.99,0,IF(W5&gt;MAX(ASS!$X$35,ASS!$X$43,ASS!$X$51,ASS!$X$59,ASS!$X$67,ASS!$X$75),"n/a",(W76+W94+W64)/(FIN!W12-TAXES_FEES!W13)))</f>
        <v>0</v>
      </c>
      <c r="X99" s="262" t="n">
        <f aca="false">IF(equityperc&gt;0.99,0,IF(X5&gt;MAX(ASS!$X$35,ASS!$X$43,ASS!$X$51,ASS!$X$59,ASS!$X$67,ASS!$X$75),"n/a",(X76+X94+X64)/(FIN!X12-TAXES_FEES!X13)))</f>
        <v>0</v>
      </c>
      <c r="Y99" s="262" t="n">
        <f aca="false">IF(equityperc&gt;0.99,0,IF(Y5&gt;MAX(ASS!$X$35,ASS!$X$43,ASS!$X$51,ASS!$X$59,ASS!$X$67,ASS!$X$75),"n/a",(Y76+Y94+Y64)/(FIN!Y12-TAXES_FEES!Y13)))</f>
        <v>0</v>
      </c>
      <c r="Z99" s="262" t="n">
        <f aca="false">IF(equityperc&gt;0.99,0,IF(Z5&gt;MAX(ASS!$X$35,ASS!$X$43,ASS!$X$51,ASS!$X$59,ASS!$X$67,ASS!$X$75),"n/a",(Z76+Z94+Z64)/(FIN!Z12-TAXES_FEES!Z13)))</f>
        <v>0</v>
      </c>
      <c r="AA99" s="262" t="n">
        <f aca="false">IF(equityperc&gt;0.99,0,IF(AA5&gt;MAX(ASS!$X$35,ASS!$X$43,ASS!$X$51,ASS!$X$59,ASS!$X$67,ASS!$X$75),"n/a",(AA76+AA94+AA64)/(FIN!AA12-TAXES_FEES!AA13)))</f>
        <v>0</v>
      </c>
      <c r="AB99" s="262" t="n">
        <f aca="false">IF(equityperc&gt;0.99,0,IF(AB5&gt;MAX(ASS!$X$35,ASS!$X$43,ASS!$X$51,ASS!$X$59,ASS!$X$67,ASS!$X$75),"n/a",(AB76+AB94+AB64)/(FIN!AB12-TAXES_FEES!AB13)))</f>
        <v>0</v>
      </c>
      <c r="AC99" s="262" t="n">
        <f aca="false">IF(equityperc&gt;0.99,0,IF(AC5&gt;MAX(ASS!$X$35,ASS!$X$43,ASS!$X$51,ASS!$X$59,ASS!$X$67,ASS!$X$75),"n/a",(AC76+AC94+AC64)/(FIN!AC12-TAXES_FEES!AC13)))</f>
        <v>0</v>
      </c>
      <c r="AD99" s="202"/>
    </row>
    <row r="102" customFormat="false" ht="12.75" hidden="false" customHeight="false" outlineLevel="0" collapsed="false">
      <c r="A102" s="263"/>
      <c r="B102" s="263"/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4"/>
      <c r="T102" s="264"/>
      <c r="U102" s="264"/>
      <c r="V102" s="264"/>
      <c r="W102" s="264"/>
      <c r="X102" s="264"/>
      <c r="Y102" s="264"/>
      <c r="Z102" s="264"/>
      <c r="AA102" s="264"/>
      <c r="AB102" s="264"/>
      <c r="AC102" s="264"/>
    </row>
    <row r="103" customFormat="false" ht="12.75" hidden="false" customHeight="false" outlineLevel="0" collapsed="false"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  <c r="Y103" s="264"/>
      <c r="Z103" s="264"/>
      <c r="AA103" s="264"/>
      <c r="AB103" s="264"/>
      <c r="AC103" s="264"/>
    </row>
    <row r="104" customFormat="false" ht="12.75" hidden="false" customHeight="false" outlineLevel="0" collapsed="false">
      <c r="G104" s="264"/>
      <c r="J104" s="264"/>
      <c r="R104" s="264"/>
    </row>
    <row r="105" customFormat="false" ht="12.75" hidden="false" customHeight="false" outlineLevel="0" collapsed="false">
      <c r="G105" s="265"/>
      <c r="J105" s="265"/>
      <c r="P105" s="266"/>
      <c r="R105" s="265"/>
    </row>
    <row r="106" customFormat="false" ht="12.75" hidden="false" customHeight="false" outlineLevel="0" collapsed="false">
      <c r="G106" s="264"/>
      <c r="J106" s="264"/>
      <c r="R106" s="265"/>
    </row>
    <row r="108" customFormat="false" ht="12.75" hidden="false" customHeight="false" outlineLevel="0" collapsed="false">
      <c r="G108" s="265"/>
      <c r="J108" s="265"/>
      <c r="S108" s="264"/>
    </row>
    <row r="109" customFormat="false" ht="12.75" hidden="false" customHeight="false" outlineLevel="0" collapsed="false">
      <c r="A109" s="267"/>
    </row>
    <row r="110" customFormat="false" ht="12.75" hidden="false" customHeight="false" outlineLevel="0" collapsed="false">
      <c r="A110" s="267"/>
      <c r="G110" s="265"/>
      <c r="J110" s="265"/>
    </row>
    <row r="111" customFormat="false" ht="12.75" hidden="false" customHeight="false" outlineLevel="0" collapsed="false">
      <c r="A111" s="267"/>
      <c r="J111" s="265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56"/>
    <col collapsed="false" customWidth="true" hidden="false" outlineLevel="0" max="2" min="2" style="1" width="31.99"/>
    <col collapsed="false" customWidth="true" hidden="false" outlineLevel="0" max="3" min="3" style="1" width="3.7"/>
    <col collapsed="false" customWidth="false" hidden="false" outlineLevel="0" max="7" min="4" style="1" width="9.14"/>
    <col collapsed="false" customWidth="true" hidden="false" outlineLevel="0" max="8" min="8" style="1" width="9.85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261</v>
      </c>
      <c r="B1" s="268"/>
    </row>
    <row r="2" customFormat="false" ht="15.75" hidden="false" customHeight="false" outlineLevel="0" collapsed="false">
      <c r="A2" s="188" t="n">
        <f aca="false">ASS!A4</f>
        <v>0</v>
      </c>
      <c r="B2" s="269"/>
      <c r="H2" s="267"/>
    </row>
    <row r="3" customFormat="false" ht="15.75" hidden="false" customHeight="false" outlineLevel="0" collapsed="false">
      <c r="A3" s="189" t="str">
        <f aca="false">ASS!A5</f>
        <v>BASE MODEL</v>
      </c>
      <c r="B3" s="270"/>
      <c r="F3" s="271" t="n">
        <v>36525</v>
      </c>
      <c r="H3" s="267"/>
    </row>
    <row r="5" customFormat="false" ht="12.75" hidden="false" customHeight="false" outlineLevel="0" collapsed="false">
      <c r="A5" s="18" t="s">
        <v>262</v>
      </c>
      <c r="B5" s="15"/>
      <c r="C5" s="15"/>
      <c r="D5" s="272" t="n">
        <f aca="false">IF(D6&lt;STARTYR,0,C5+1)</f>
        <v>0</v>
      </c>
      <c r="E5" s="15" t="n">
        <f aca="false">IF(E6&lt;STARTYR,0,C5+1)</f>
        <v>0</v>
      </c>
      <c r="F5" s="15" t="n">
        <f aca="false">IF(F6&lt;STARTYR,0,D5+1)</f>
        <v>0</v>
      </c>
      <c r="G5" s="15" t="n">
        <f aca="false">IF(G6&lt;STARTYR,0,F5+1)</f>
        <v>1</v>
      </c>
      <c r="H5" s="15" t="n">
        <f aca="false">IF(H6&lt;STARTYR,0,G5+1)</f>
        <v>2</v>
      </c>
      <c r="I5" s="15" t="n">
        <f aca="false">IF(I6&lt;STARTYR,0,H5+1)</f>
        <v>3</v>
      </c>
      <c r="J5" s="15" t="n">
        <f aca="false">IF(J6&lt;STARTYR,0,I5+1)</f>
        <v>4</v>
      </c>
      <c r="K5" s="15" t="n">
        <f aca="false">IF(K6&lt;STARTYR,0,J5+1)</f>
        <v>5</v>
      </c>
      <c r="L5" s="15" t="n">
        <f aca="false">IF(L6&lt;STARTYR,0,K5+1)</f>
        <v>6</v>
      </c>
      <c r="M5" s="15" t="n">
        <f aca="false">IF(M6&lt;STARTYR,0,L5+1)</f>
        <v>7</v>
      </c>
      <c r="N5" s="15" t="n">
        <f aca="false">IF(N6&lt;STARTYR,0,M5+1)</f>
        <v>8</v>
      </c>
      <c r="O5" s="15" t="n">
        <f aca="false">IF(O6&lt;STARTYR,0,N5+1)</f>
        <v>9</v>
      </c>
      <c r="P5" s="15" t="n">
        <f aca="false">IF(P6&lt;STARTYR,0,O5+1)</f>
        <v>10</v>
      </c>
      <c r="Q5" s="15" t="n">
        <f aca="false">IF(Q6&lt;STARTYR,0,P5+1)</f>
        <v>11</v>
      </c>
      <c r="R5" s="15" t="n">
        <f aca="false">IF(R6&lt;STARTYR,0,Q5+1)</f>
        <v>12</v>
      </c>
      <c r="S5" s="15" t="n">
        <f aca="false">IF(S6&lt;STARTYR,0,R5+1)</f>
        <v>13</v>
      </c>
      <c r="T5" s="15" t="n">
        <f aca="false">IF(T6&lt;STARTYR,0,S5+1)</f>
        <v>14</v>
      </c>
      <c r="U5" s="15" t="n">
        <f aca="false">IF(U6&lt;STARTYR,0,T5+1)</f>
        <v>15</v>
      </c>
      <c r="V5" s="15" t="n">
        <f aca="false">IF(V6&lt;STARTYR,0,U5+1)</f>
        <v>16</v>
      </c>
      <c r="W5" s="15" t="n">
        <f aca="false">IF(W6&lt;STARTYR,0,V5+1)</f>
        <v>17</v>
      </c>
      <c r="X5" s="15" t="n">
        <f aca="false">IF(X6&lt;STARTYR,0,W5+1)</f>
        <v>18</v>
      </c>
      <c r="Y5" s="15" t="n">
        <f aca="false">IF(Y6&lt;STARTYR,0,X5+1)</f>
        <v>19</v>
      </c>
      <c r="Z5" s="15" t="n">
        <f aca="false">IF(Z6&lt;STARTYR,0,Y5+1)</f>
        <v>20</v>
      </c>
      <c r="AA5" s="15" t="n">
        <f aca="false">IF(AA6&lt;STARTYR,0,Z5+1)</f>
        <v>21</v>
      </c>
      <c r="AB5" s="15" t="n">
        <f aca="false">IF(AB6&lt;STARTYR,0,AA5+1)</f>
        <v>22</v>
      </c>
      <c r="AC5" s="15" t="n">
        <f aca="false">IF(AC6&lt;STARTYR,0,AB5+1)</f>
        <v>23</v>
      </c>
      <c r="AD5" s="15" t="n">
        <f aca="false">IF(AD6&lt;STARTYR,0,AC5+1)</f>
        <v>24</v>
      </c>
      <c r="AE5" s="15" t="n">
        <f aca="false">IF(AE6&lt;STARTYR,0,AD5+1)</f>
        <v>25</v>
      </c>
      <c r="AF5" s="15" t="n">
        <f aca="false">IF(AF6&lt;STARTYR,0,AE5+1)</f>
        <v>26</v>
      </c>
      <c r="AG5" s="194"/>
      <c r="AI5" s="1" t="n">
        <v>1</v>
      </c>
    </row>
    <row r="6" customFormat="false" ht="12.75" hidden="false" customHeight="false" outlineLevel="0" collapsed="false">
      <c r="A6" s="273" t="s">
        <v>204</v>
      </c>
      <c r="B6" s="58"/>
      <c r="C6" s="58"/>
      <c r="D6" s="169" t="n">
        <v>0</v>
      </c>
      <c r="E6" s="169" t="n">
        <v>0</v>
      </c>
      <c r="F6" s="169" t="n">
        <f aca="false">G6-1</f>
        <v>2000</v>
      </c>
      <c r="G6" s="169" t="n">
        <f aca="false">CF!D6</f>
        <v>2001</v>
      </c>
      <c r="H6" s="169" t="n">
        <f aca="false">CF!E6</f>
        <v>2002</v>
      </c>
      <c r="I6" s="169" t="n">
        <f aca="false">CF!F6</f>
        <v>2003</v>
      </c>
      <c r="J6" s="169" t="n">
        <f aca="false">CF!G6</f>
        <v>2004</v>
      </c>
      <c r="K6" s="169" t="n">
        <f aca="false">CF!H6</f>
        <v>2005</v>
      </c>
      <c r="L6" s="169" t="n">
        <f aca="false">CF!I6</f>
        <v>2006</v>
      </c>
      <c r="M6" s="169" t="n">
        <f aca="false">CF!J6</f>
        <v>2007</v>
      </c>
      <c r="N6" s="169" t="n">
        <f aca="false">CF!K6</f>
        <v>2008</v>
      </c>
      <c r="O6" s="169" t="n">
        <f aca="false">CF!L6</f>
        <v>2009</v>
      </c>
      <c r="P6" s="169" t="n">
        <f aca="false">CF!M6</f>
        <v>2010</v>
      </c>
      <c r="Q6" s="169" t="n">
        <f aca="false">CF!N6</f>
        <v>2011</v>
      </c>
      <c r="R6" s="169" t="n">
        <f aca="false">CF!O6</f>
        <v>2012</v>
      </c>
      <c r="S6" s="169" t="n">
        <f aca="false">CF!P6</f>
        <v>2013</v>
      </c>
      <c r="T6" s="169" t="n">
        <f aca="false">CF!Q6</f>
        <v>2014</v>
      </c>
      <c r="U6" s="169" t="n">
        <f aca="false">CF!R6</f>
        <v>2015</v>
      </c>
      <c r="V6" s="169" t="n">
        <f aca="false">CF!S6</f>
        <v>2016</v>
      </c>
      <c r="W6" s="169" t="n">
        <f aca="false">CF!T6</f>
        <v>2017</v>
      </c>
      <c r="X6" s="169" t="n">
        <f aca="false">CF!U6</f>
        <v>2018</v>
      </c>
      <c r="Y6" s="169" t="n">
        <f aca="false">CF!V6</f>
        <v>2019</v>
      </c>
      <c r="Z6" s="169" t="n">
        <f aca="false">CF!W6</f>
        <v>2020</v>
      </c>
      <c r="AA6" s="169" t="n">
        <f aca="false">CF!X6</f>
        <v>2021</v>
      </c>
      <c r="AB6" s="169" t="n">
        <f aca="false">CF!Y6</f>
        <v>2022</v>
      </c>
      <c r="AC6" s="169" t="n">
        <f aca="false">CF!Z6</f>
        <v>2023</v>
      </c>
      <c r="AD6" s="169" t="n">
        <f aca="false">CF!AA6</f>
        <v>2024</v>
      </c>
      <c r="AE6" s="169" t="n">
        <f aca="false">CF!AB6</f>
        <v>2025</v>
      </c>
      <c r="AF6" s="274" t="n">
        <f aca="false">CF!AC6</f>
        <v>2026</v>
      </c>
      <c r="AG6" s="275" t="s">
        <v>205</v>
      </c>
      <c r="AI6" s="1" t="n">
        <f aca="false">AI5+1</f>
        <v>2</v>
      </c>
    </row>
    <row r="7" customFormat="false" ht="12.75" hidden="false" customHeight="false" outlineLevel="0" collapsed="false">
      <c r="AI7" s="1" t="n">
        <f aca="false">AI6+1</f>
        <v>3</v>
      </c>
    </row>
    <row r="8" customFormat="false" ht="12.75" hidden="false" customHeight="false" outlineLevel="0" collapsed="false">
      <c r="A8" s="13" t="s">
        <v>263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7"/>
      <c r="AG8" s="194"/>
      <c r="AI8" s="1" t="n">
        <f aca="false">AI7+1</f>
        <v>4</v>
      </c>
    </row>
    <row r="9" customFormat="false" ht="12.75" hidden="false" customHeight="false" outlineLevel="0" collapsed="false">
      <c r="A9" s="29"/>
      <c r="B9" s="30" t="s">
        <v>264</v>
      </c>
      <c r="C9" s="30"/>
      <c r="D9" s="212" t="n">
        <f aca="false">IF(D6=0,0,IF(D5&gt;0,0,-HLOOKUP(DATE(D6,12,31),IDC_TABLE,IDC!$AP$38)))</f>
        <v>0</v>
      </c>
      <c r="E9" s="212" t="n">
        <f aca="false">IF(E6=0,0,-HLOOKUP(DATE(E6,12,31),IDC_TABLE,IDC!$AP$38)-SUM(D$9:$D9))</f>
        <v>0</v>
      </c>
      <c r="F9" s="276" t="e">
        <f aca="false">IF(F6=0,0,-HLOOKUP(DATE(F6,12,31),IDC_TABLE,IDC!$AP$38)-SUM($D$9:E9))</f>
        <v>#N/A</v>
      </c>
      <c r="G9" s="276" t="e">
        <f aca="false">IF(G6=0,0,-HLOOKUP(DATE(G6,12,31),IDC_TABLE,IDC!$AP$38)-SUM($D$9:F9))</f>
        <v>#N/A</v>
      </c>
      <c r="H9" s="276" t="e">
        <f aca="false">IF(H6=0,0,-HLOOKUP(DATE(H6,12,31),IDC_TABLE,IDC!$AP$38)-SUM($D$9:G9))</f>
        <v>#N/A</v>
      </c>
      <c r="I9" s="276" t="e">
        <f aca="false">IF(I6=0,0,-HLOOKUP(DATE(I6,12,31),IDC_TABLE,IDC!$AP$38)-SUM($D$9:H9))</f>
        <v>#N/A</v>
      </c>
      <c r="J9" s="276" t="e">
        <f aca="false">IF(J6=0,0,-HLOOKUP(DATE(J6,12,31),IDC_TABLE,IDC!$AP$38)-SUM($D$9:I9))</f>
        <v>#N/A</v>
      </c>
      <c r="K9" s="276" t="e">
        <f aca="false">IF(K6=0,0,-HLOOKUP(DATE(K6,12,31),IDC_TABLE,IDC!$AP$38)-SUM($D$9:J9))</f>
        <v>#N/A</v>
      </c>
      <c r="L9" s="276" t="e">
        <f aca="false">IF(L6=0,0,-HLOOKUP(DATE(L6,12,31),IDC_TABLE,IDC!$AP$38)-SUM($D$9:K9))</f>
        <v>#N/A</v>
      </c>
      <c r="M9" s="276" t="e">
        <f aca="false">IF(M6=0,0,-HLOOKUP(DATE(M6,12,31),IDC_TABLE,IDC!$AP$38)-SUM($D$9:L9))</f>
        <v>#N/A</v>
      </c>
      <c r="N9" s="276" t="e">
        <f aca="false">IF(N6=0,0,-HLOOKUP(DATE(N6,12,31),IDC_TABLE,IDC!$AP$38)-SUM($D$9:M9))</f>
        <v>#N/A</v>
      </c>
      <c r="O9" s="276" t="e">
        <f aca="false">IF(O6=0,0,-HLOOKUP(DATE(O6,12,31),IDC_TABLE,IDC!$AP$38)-SUM($D$9:N9))</f>
        <v>#N/A</v>
      </c>
      <c r="P9" s="276" t="e">
        <f aca="false">IF(P6=0,0,-HLOOKUP(DATE(P6,12,31),IDC_TABLE,IDC!$AP$38)-SUM($D$9:O9))</f>
        <v>#N/A</v>
      </c>
      <c r="Q9" s="276" t="e">
        <f aca="false">IF(Q6=0,0,-HLOOKUP(DATE(Q6,12,31),IDC_TABLE,IDC!$AP$38)-SUM($D$9:P9))</f>
        <v>#N/A</v>
      </c>
      <c r="R9" s="276" t="e">
        <f aca="false">IF(R6=0,0,-HLOOKUP(DATE(R6,12,31),IDC_TABLE,IDC!$AP$38)-SUM($D$9:Q9))</f>
        <v>#N/A</v>
      </c>
      <c r="S9" s="276" t="e">
        <f aca="false">IF(S6=0,0,-HLOOKUP(DATE(S6,12,31),IDC_TABLE,IDC!$AP$38)-SUM($D$9:R9))</f>
        <v>#N/A</v>
      </c>
      <c r="T9" s="276" t="e">
        <f aca="false">IF(T6=0,0,-HLOOKUP(DATE(T6,12,31),IDC_TABLE,IDC!$AP$38)-SUM($D$9:S9))</f>
        <v>#N/A</v>
      </c>
      <c r="U9" s="276" t="e">
        <f aca="false">IF(U6=0,0,-HLOOKUP(DATE(U6,12,31),IDC_TABLE,IDC!$AP$38)-SUM($D$9:T9))</f>
        <v>#N/A</v>
      </c>
      <c r="V9" s="276" t="e">
        <f aca="false">IF(V6=0,0,-HLOOKUP(DATE(V6,12,31),IDC_TABLE,IDC!$AP$38)-SUM($D$9:U9))</f>
        <v>#N/A</v>
      </c>
      <c r="W9" s="276" t="e">
        <f aca="false">IF(W6=0,0,-HLOOKUP(DATE(W6,12,31),IDC_TABLE,IDC!$AP$38)-SUM($D$9:V9))</f>
        <v>#N/A</v>
      </c>
      <c r="X9" s="276" t="e">
        <f aca="false">IF(X6=0,0,-HLOOKUP(DATE(X6,12,31),IDC_TABLE,IDC!$AP$38)-SUM($D$9:W9))</f>
        <v>#N/A</v>
      </c>
      <c r="Y9" s="276" t="e">
        <f aca="false">IF(Y6=0,0,-HLOOKUP(DATE(Y6,12,31),IDC_TABLE,IDC!$AP$38)-SUM($D$9:X9))</f>
        <v>#N/A</v>
      </c>
      <c r="Z9" s="276" t="e">
        <f aca="false">IF(Z6=0,0,-HLOOKUP(DATE(Z6,12,31),IDC_TABLE,IDC!$AP$38)-SUM($D$9:Y9))</f>
        <v>#N/A</v>
      </c>
      <c r="AA9" s="276" t="e">
        <f aca="false">IF(AA6=0,0,-HLOOKUP(DATE(AA6,12,31),IDC_TABLE,IDC!$AP$38)-SUM($D$9:Z9))</f>
        <v>#N/A</v>
      </c>
      <c r="AB9" s="276" t="e">
        <f aca="false">IF(AB6=0,0,-HLOOKUP(DATE(AB6,12,31),IDC_TABLE,IDC!$AP$38)-SUM($D$9:AA9))</f>
        <v>#N/A</v>
      </c>
      <c r="AC9" s="276" t="e">
        <f aca="false">IF(AC6=0,0,-HLOOKUP(DATE(AC6,12,31),IDC_TABLE,IDC!$AP$38)-SUM($D$9:AB9))</f>
        <v>#N/A</v>
      </c>
      <c r="AD9" s="276" t="e">
        <f aca="false">IF(AD6=0,0,-HLOOKUP(DATE(AD6,12,31),IDC_TABLE,IDC!$AP$38)-SUM($D$9:AC9))</f>
        <v>#N/A</v>
      </c>
      <c r="AE9" s="276" t="e">
        <f aca="false">IF(AE6=0,0,-HLOOKUP(DATE(AE6,12,31),IDC_TABLE,IDC!$AP$38)-SUM($D$9:AD9))</f>
        <v>#N/A</v>
      </c>
      <c r="AF9" s="276" t="e">
        <f aca="false">IF(AF6=0,0,-HLOOKUP(DATE(AF6,12,31),IDC_TABLE,IDC!$AP$38)-SUM($D$9:AE9))</f>
        <v>#N/A</v>
      </c>
      <c r="AG9" s="213" t="e">
        <f aca="false">SUM(D9:AF9)</f>
        <v>#N/A</v>
      </c>
      <c r="AH9" s="5" t="e">
        <f aca="false">IF(ABS(AG9+EQUITY)&lt;0.1," ","CHECK")</f>
        <v>#REF!</v>
      </c>
      <c r="AI9" s="1" t="n">
        <f aca="false">AI8+1</f>
        <v>5</v>
      </c>
    </row>
    <row r="10" customFormat="false" ht="12.75" hidden="false" customHeight="false" outlineLevel="0" collapsed="false">
      <c r="A10" s="29"/>
      <c r="B10" s="30" t="s">
        <v>265</v>
      </c>
      <c r="C10" s="30"/>
      <c r="D10" s="277" t="n">
        <f aca="false">0</f>
        <v>0</v>
      </c>
      <c r="E10" s="277" t="n">
        <f aca="false">0</f>
        <v>0</v>
      </c>
      <c r="F10" s="277" t="n">
        <f aca="false">0</f>
        <v>0</v>
      </c>
      <c r="G10" s="277" t="e">
        <f aca="false">CF!D96</f>
        <v>#REF!</v>
      </c>
      <c r="H10" s="277" t="e">
        <f aca="false">CF!E96</f>
        <v>#REF!</v>
      </c>
      <c r="I10" s="277" t="e">
        <f aca="false">CF!F96</f>
        <v>#REF!</v>
      </c>
      <c r="J10" s="277" t="e">
        <f aca="false">CF!G96</f>
        <v>#REF!</v>
      </c>
      <c r="K10" s="277" t="e">
        <f aca="false">CF!H96</f>
        <v>#REF!</v>
      </c>
      <c r="L10" s="277" t="e">
        <f aca="false">CF!I96</f>
        <v>#REF!</v>
      </c>
      <c r="M10" s="277" t="e">
        <f aca="false">CF!J96</f>
        <v>#REF!</v>
      </c>
      <c r="N10" s="277" t="e">
        <f aca="false">CF!K96</f>
        <v>#REF!</v>
      </c>
      <c r="O10" s="277" t="e">
        <f aca="false">CF!L96</f>
        <v>#REF!</v>
      </c>
      <c r="P10" s="277" t="e">
        <f aca="false">CF!M96</f>
        <v>#REF!</v>
      </c>
      <c r="Q10" s="277" t="e">
        <f aca="false">CF!N96</f>
        <v>#REF!</v>
      </c>
      <c r="R10" s="277" t="e">
        <f aca="false">CF!O96</f>
        <v>#REF!</v>
      </c>
      <c r="S10" s="277" t="e">
        <f aca="false">CF!P96</f>
        <v>#REF!</v>
      </c>
      <c r="T10" s="277" t="e">
        <f aca="false">CF!Q96</f>
        <v>#REF!</v>
      </c>
      <c r="U10" s="277" t="e">
        <f aca="false">CF!R96</f>
        <v>#REF!</v>
      </c>
      <c r="V10" s="277" t="e">
        <f aca="false">CF!S96</f>
        <v>#VALUE!</v>
      </c>
      <c r="W10" s="277" t="e">
        <f aca="false">CF!T96</f>
        <v>#REF!</v>
      </c>
      <c r="X10" s="277" t="e">
        <f aca="false">CF!U96</f>
        <v>#REF!</v>
      </c>
      <c r="Y10" s="277" t="e">
        <f aca="false">CF!V96</f>
        <v>#REF!</v>
      </c>
      <c r="Z10" s="277" t="e">
        <f aca="false">CF!W96</f>
        <v>#REF!</v>
      </c>
      <c r="AA10" s="277" t="e">
        <f aca="false">CF!X96</f>
        <v>#REF!</v>
      </c>
      <c r="AB10" s="277" t="e">
        <f aca="false">CF!Y96</f>
        <v>#REF!</v>
      </c>
      <c r="AC10" s="277" t="e">
        <f aca="false">CF!Z96</f>
        <v>#REF!</v>
      </c>
      <c r="AD10" s="277" t="e">
        <f aca="false">CF!AA96</f>
        <v>#REF!</v>
      </c>
      <c r="AE10" s="277" t="e">
        <f aca="false">CF!AB96</f>
        <v>#REF!</v>
      </c>
      <c r="AF10" s="278" t="e">
        <f aca="false">CF!AC96</f>
        <v>#REF!</v>
      </c>
      <c r="AG10" s="216" t="e">
        <f aca="false">SUM(D10:AF10)</f>
        <v>#REF!</v>
      </c>
      <c r="AH10" s="5" t="e">
        <f aca="false">IF(ABS($AG$10-CF!$AD$96)&lt;0.01," ","CHECK:  DOES NOT EQUAL TOTAL CF DISTRIBUTED")</f>
        <v>#REF!</v>
      </c>
      <c r="AI10" s="1" t="n">
        <f aca="false">AI9+1</f>
        <v>6</v>
      </c>
    </row>
    <row r="11" customFormat="false" ht="12.75" hidden="false" customHeight="false" outlineLevel="0" collapsed="false">
      <c r="A11" s="101"/>
      <c r="B11" s="30" t="s">
        <v>266</v>
      </c>
      <c r="C11" s="30"/>
      <c r="D11" s="279" t="n">
        <f aca="false">SUM(D9:D10)</f>
        <v>0</v>
      </c>
      <c r="E11" s="279" t="n">
        <f aca="false">SUM(E9:E10)</f>
        <v>0</v>
      </c>
      <c r="F11" s="279" t="e">
        <f aca="false">SUM(F9:F10)</f>
        <v>#N/A</v>
      </c>
      <c r="G11" s="279" t="e">
        <f aca="false">SUM(G9:G10)</f>
        <v>#N/A</v>
      </c>
      <c r="H11" s="279" t="e">
        <f aca="false">SUM(H9:H10)</f>
        <v>#N/A</v>
      </c>
      <c r="I11" s="279" t="e">
        <f aca="false">SUM(I9:I10)</f>
        <v>#N/A</v>
      </c>
      <c r="J11" s="279" t="e">
        <f aca="false">SUM(J9:J10)</f>
        <v>#N/A</v>
      </c>
      <c r="K11" s="279" t="e">
        <f aca="false">SUM(K9:K10)</f>
        <v>#N/A</v>
      </c>
      <c r="L11" s="279" t="e">
        <f aca="false">SUM(L9:L10)</f>
        <v>#N/A</v>
      </c>
      <c r="M11" s="279" t="e">
        <f aca="false">SUM(M9:M10)</f>
        <v>#N/A</v>
      </c>
      <c r="N11" s="279" t="e">
        <f aca="false">SUM(N9:N10)</f>
        <v>#N/A</v>
      </c>
      <c r="O11" s="279" t="e">
        <f aca="false">SUM(O9:O10)</f>
        <v>#N/A</v>
      </c>
      <c r="P11" s="279" t="e">
        <f aca="false">SUM(P9:P10)</f>
        <v>#N/A</v>
      </c>
      <c r="Q11" s="279" t="e">
        <f aca="false">SUM(Q9:Q10)</f>
        <v>#N/A</v>
      </c>
      <c r="R11" s="279" t="e">
        <f aca="false">SUM(R9:R10)</f>
        <v>#N/A</v>
      </c>
      <c r="S11" s="279" t="e">
        <f aca="false">SUM(S9:S10)</f>
        <v>#N/A</v>
      </c>
      <c r="T11" s="279" t="e">
        <f aca="false">SUM(T9:T10)</f>
        <v>#N/A</v>
      </c>
      <c r="U11" s="279" t="e">
        <f aca="false">SUM(U9:U10)</f>
        <v>#N/A</v>
      </c>
      <c r="V11" s="279" t="e">
        <f aca="false">SUM(V9:V10)</f>
        <v>#N/A</v>
      </c>
      <c r="W11" s="279" t="e">
        <f aca="false">SUM(W9:W10)</f>
        <v>#N/A</v>
      </c>
      <c r="X11" s="279" t="e">
        <f aca="false">SUM(X9:X10)</f>
        <v>#N/A</v>
      </c>
      <c r="Y11" s="279" t="e">
        <f aca="false">SUM(Y9:Y10)</f>
        <v>#N/A</v>
      </c>
      <c r="Z11" s="279" t="e">
        <f aca="false">SUM(Z9:Z10)</f>
        <v>#N/A</v>
      </c>
      <c r="AA11" s="279" t="e">
        <f aca="false">SUM(AA9:AA10)</f>
        <v>#N/A</v>
      </c>
      <c r="AB11" s="279" t="e">
        <f aca="false">SUM(AB9:AB10)</f>
        <v>#N/A</v>
      </c>
      <c r="AC11" s="279" t="e">
        <f aca="false">SUM(AC9:AC10)</f>
        <v>#N/A</v>
      </c>
      <c r="AD11" s="279" t="e">
        <f aca="false">SUM(AD9:AD10)</f>
        <v>#N/A</v>
      </c>
      <c r="AE11" s="279" t="e">
        <f aca="false">SUM(AE9:AE10)</f>
        <v>#N/A</v>
      </c>
      <c r="AF11" s="280" t="e">
        <f aca="false">SUM(AF9:AF10)</f>
        <v>#N/A</v>
      </c>
      <c r="AG11" s="281" t="e">
        <f aca="false">SUM(D11:AF11)</f>
        <v>#N/A</v>
      </c>
      <c r="AH11" s="282"/>
      <c r="AI11" s="1" t="n">
        <f aca="false">AI10+1</f>
        <v>7</v>
      </c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2"/>
      <c r="CM11" s="282"/>
      <c r="CN11" s="282"/>
      <c r="CO11" s="282"/>
      <c r="CP11" s="282"/>
      <c r="CQ11" s="282"/>
      <c r="CR11" s="282"/>
      <c r="CS11" s="282"/>
      <c r="CT11" s="282"/>
      <c r="CU11" s="282"/>
      <c r="CV11" s="282"/>
      <c r="CW11" s="282"/>
      <c r="CX11" s="282"/>
      <c r="CY11" s="282"/>
      <c r="CZ11" s="282"/>
      <c r="DA11" s="282"/>
      <c r="DB11" s="282"/>
      <c r="DC11" s="282"/>
      <c r="DD11" s="282"/>
      <c r="DE11" s="282"/>
      <c r="DF11" s="282"/>
      <c r="DG11" s="282"/>
      <c r="DH11" s="282"/>
      <c r="DI11" s="282"/>
      <c r="DJ11" s="282"/>
      <c r="DK11" s="282"/>
      <c r="DL11" s="282"/>
      <c r="DM11" s="282"/>
      <c r="DN11" s="282"/>
      <c r="DO11" s="282"/>
      <c r="DP11" s="282"/>
      <c r="DQ11" s="282"/>
      <c r="DR11" s="282"/>
      <c r="DS11" s="282"/>
      <c r="DT11" s="282"/>
      <c r="DU11" s="282"/>
      <c r="DV11" s="282"/>
      <c r="DW11" s="282"/>
      <c r="DX11" s="282"/>
      <c r="DY11" s="282"/>
      <c r="DZ11" s="282"/>
      <c r="EA11" s="282"/>
      <c r="EB11" s="282"/>
      <c r="EC11" s="282"/>
      <c r="ED11" s="282"/>
      <c r="EE11" s="282"/>
      <c r="EF11" s="282"/>
      <c r="EG11" s="282"/>
      <c r="EH11" s="282"/>
      <c r="EI11" s="282"/>
      <c r="EJ11" s="282"/>
      <c r="EK11" s="282"/>
      <c r="EL11" s="282"/>
      <c r="EM11" s="282"/>
      <c r="EN11" s="282"/>
      <c r="EO11" s="282"/>
      <c r="EP11" s="282"/>
      <c r="EQ11" s="282"/>
      <c r="ER11" s="282"/>
      <c r="ES11" s="282"/>
      <c r="ET11" s="282"/>
      <c r="EU11" s="282"/>
      <c r="EV11" s="282"/>
      <c r="EW11" s="282"/>
      <c r="EX11" s="282"/>
      <c r="EY11" s="282"/>
      <c r="EZ11" s="282"/>
      <c r="FA11" s="282"/>
      <c r="FB11" s="282"/>
      <c r="FC11" s="282"/>
      <c r="FD11" s="282"/>
      <c r="FE11" s="282"/>
      <c r="FF11" s="282"/>
      <c r="FG11" s="282"/>
      <c r="FH11" s="282"/>
      <c r="FI11" s="282"/>
      <c r="FJ11" s="282"/>
      <c r="FK11" s="282"/>
      <c r="FL11" s="282"/>
      <c r="FM11" s="282"/>
      <c r="FN11" s="282"/>
      <c r="FO11" s="282"/>
      <c r="FP11" s="282"/>
      <c r="FQ11" s="282"/>
      <c r="FR11" s="282"/>
      <c r="FS11" s="282"/>
      <c r="FT11" s="282"/>
      <c r="FU11" s="282"/>
      <c r="FV11" s="282"/>
      <c r="FW11" s="282"/>
      <c r="FX11" s="282"/>
      <c r="FY11" s="282"/>
      <c r="FZ11" s="282"/>
      <c r="GA11" s="282"/>
      <c r="GB11" s="282"/>
      <c r="GC11" s="282"/>
      <c r="GD11" s="282"/>
      <c r="GE11" s="282"/>
      <c r="GF11" s="282"/>
      <c r="GG11" s="282"/>
      <c r="GH11" s="282"/>
      <c r="GI11" s="282"/>
      <c r="GJ11" s="282"/>
      <c r="GK11" s="282"/>
      <c r="GL11" s="282"/>
      <c r="GM11" s="282"/>
      <c r="GN11" s="282"/>
      <c r="GO11" s="282"/>
      <c r="GP11" s="282"/>
      <c r="GQ11" s="282"/>
      <c r="GR11" s="282"/>
      <c r="GS11" s="282"/>
      <c r="GT11" s="282"/>
      <c r="GU11" s="282"/>
      <c r="GV11" s="282"/>
      <c r="GW11" s="282"/>
      <c r="GX11" s="282"/>
      <c r="GY11" s="282"/>
      <c r="GZ11" s="282"/>
      <c r="HA11" s="282"/>
      <c r="HB11" s="282"/>
      <c r="HC11" s="282"/>
      <c r="HD11" s="282"/>
      <c r="HE11" s="282"/>
      <c r="HF11" s="282"/>
      <c r="HG11" s="282"/>
      <c r="HH11" s="282"/>
      <c r="HI11" s="282"/>
      <c r="HJ11" s="282"/>
      <c r="HK11" s="282"/>
      <c r="HL11" s="282"/>
      <c r="HM11" s="282"/>
      <c r="HN11" s="282"/>
      <c r="HO11" s="282"/>
      <c r="HP11" s="282"/>
      <c r="HQ11" s="282"/>
      <c r="HR11" s="282"/>
      <c r="HS11" s="282"/>
      <c r="HT11" s="282"/>
      <c r="HU11" s="282"/>
      <c r="HV11" s="282"/>
      <c r="HW11" s="282"/>
      <c r="HX11" s="282"/>
      <c r="HY11" s="282"/>
      <c r="HZ11" s="282"/>
      <c r="IA11" s="282"/>
      <c r="IB11" s="282"/>
      <c r="IC11" s="282"/>
      <c r="ID11" s="282"/>
      <c r="IE11" s="282"/>
      <c r="IF11" s="282"/>
      <c r="IG11" s="282"/>
      <c r="IH11" s="282"/>
      <c r="II11" s="282"/>
      <c r="IJ11" s="282"/>
      <c r="IK11" s="282"/>
      <c r="IL11" s="282"/>
      <c r="IM11" s="282"/>
      <c r="IN11" s="282"/>
      <c r="IO11" s="282"/>
      <c r="IP11" s="282"/>
      <c r="IQ11" s="282"/>
      <c r="IR11" s="282"/>
      <c r="IS11" s="282"/>
      <c r="IT11" s="282"/>
      <c r="IU11" s="282"/>
      <c r="IV11" s="282"/>
      <c r="IW11" s="282"/>
    </row>
    <row r="12" customFormat="false" ht="12.75" hidden="false" customHeight="false" outlineLevel="0" collapsed="false">
      <c r="A12" s="29"/>
      <c r="B12" s="30" t="s">
        <v>267</v>
      </c>
      <c r="C12" s="30"/>
      <c r="D12" s="212" t="n">
        <f aca="false">D11</f>
        <v>0</v>
      </c>
      <c r="E12" s="212" t="n">
        <f aca="false">$D$11+NPV(DISC,E$11:$E11)</f>
        <v>0</v>
      </c>
      <c r="F12" s="212" t="e">
        <f aca="false">$D$11+NPV(DISC,$E$11:F11)</f>
        <v>#N/A</v>
      </c>
      <c r="G12" s="212" t="e">
        <f aca="false">$D$11+NPV(DISC,$E$11:G11)</f>
        <v>#N/A</v>
      </c>
      <c r="H12" s="212" t="e">
        <f aca="false">$D$11+NPV(DISC,$E$11:H11)</f>
        <v>#N/A</v>
      </c>
      <c r="I12" s="212" t="e">
        <f aca="false">$D$11+NPV(DISC,$E$11:I11)</f>
        <v>#N/A</v>
      </c>
      <c r="J12" s="212" t="e">
        <f aca="false">$D$11+NPV(DISC,$E$11:J11)</f>
        <v>#N/A</v>
      </c>
      <c r="K12" s="212" t="e">
        <f aca="false">$D$11+NPV(DISC,$E$11:K11)</f>
        <v>#N/A</v>
      </c>
      <c r="L12" s="212" t="e">
        <f aca="false">$D$11+NPV(DISC,$E$11:L11)</f>
        <v>#N/A</v>
      </c>
      <c r="M12" s="212" t="e">
        <f aca="false">$D$11+NPV(DISC,$E$11:M11)</f>
        <v>#N/A</v>
      </c>
      <c r="N12" s="212" t="e">
        <f aca="false">$D$11+NPV(DISC,$E$11:N11)</f>
        <v>#N/A</v>
      </c>
      <c r="O12" s="212" t="e">
        <f aca="false">$D$11+NPV(DISC,$E$11:O11)</f>
        <v>#N/A</v>
      </c>
      <c r="P12" s="212" t="e">
        <f aca="false">$D$11+NPV(DISC,$E$11:P11)</f>
        <v>#N/A</v>
      </c>
      <c r="Q12" s="212" t="e">
        <f aca="false">$D$11+NPV(DISC,$E$11:Q11)</f>
        <v>#N/A</v>
      </c>
      <c r="R12" s="212" t="e">
        <f aca="false">$D$11+NPV(DISC,$E$11:R11)</f>
        <v>#N/A</v>
      </c>
      <c r="S12" s="212" t="e">
        <f aca="false">$D$11+NPV(DISC,$E$11:S11)</f>
        <v>#N/A</v>
      </c>
      <c r="T12" s="212" t="e">
        <f aca="false">$D$11+NPV(DISC,$E$11:T11)</f>
        <v>#N/A</v>
      </c>
      <c r="U12" s="212" t="e">
        <f aca="false">$D$11+NPV(DISC,$E$11:U11)</f>
        <v>#N/A</v>
      </c>
      <c r="V12" s="212" t="e">
        <f aca="false">$D$11+NPV(DISC,$E$11:V11)</f>
        <v>#N/A</v>
      </c>
      <c r="W12" s="212" t="e">
        <f aca="false">$D$11+NPV(DISC,$E$11:W11)</f>
        <v>#N/A</v>
      </c>
      <c r="X12" s="212" t="e">
        <f aca="false">$D$11+NPV(DISC,$E$11:X11)</f>
        <v>#N/A</v>
      </c>
      <c r="Y12" s="212" t="e">
        <f aca="false">$D$11+NPV(DISC,$E$11:Y11)</f>
        <v>#N/A</v>
      </c>
      <c r="Z12" s="212" t="e">
        <f aca="false">$D$11+NPV(DISC,$E$11:Z11)</f>
        <v>#N/A</v>
      </c>
      <c r="AA12" s="212" t="e">
        <f aca="false">$D$11+NPV(DISC,$E$11:AA11)</f>
        <v>#N/A</v>
      </c>
      <c r="AB12" s="212" t="e">
        <f aca="false">$D$11+NPV(DISC,$E$11:AB11)</f>
        <v>#N/A</v>
      </c>
      <c r="AC12" s="212" t="e">
        <f aca="false">$D$11+NPV(DISC,$E$11:AC11)</f>
        <v>#N/A</v>
      </c>
      <c r="AD12" s="212" t="e">
        <f aca="false">$D$11+NPV(DISC,$E$11:AD11)</f>
        <v>#N/A</v>
      </c>
      <c r="AE12" s="212" t="e">
        <f aca="false">$D$11+NPV(DISC,$E$11:AE11)</f>
        <v>#N/A</v>
      </c>
      <c r="AF12" s="76" t="e">
        <f aca="false">$D$11+NPV(DISC,$E$11:AF11)</f>
        <v>#N/A</v>
      </c>
      <c r="AG12" s="213" t="e">
        <f aca="false">SUM(D12:AF12)</f>
        <v>#N/A</v>
      </c>
      <c r="AI12" s="1" t="n">
        <f aca="false">AI11+1</f>
        <v>8</v>
      </c>
    </row>
    <row r="13" customFormat="false" ht="12.75" hidden="false" customHeight="false" outlineLevel="0" collapsed="false">
      <c r="A13" s="29"/>
      <c r="B13" s="30" t="s">
        <v>268</v>
      </c>
      <c r="C13" s="30"/>
      <c r="D13" s="72" t="e">
        <f aca="false">IRR($D$11:D11,-0.9)</f>
        <v>#N/A</v>
      </c>
      <c r="E13" s="72" t="e">
        <f aca="false">IRR($D$11:E11,-0.9)</f>
        <v>#N/A</v>
      </c>
      <c r="F13" s="72" t="e">
        <f aca="false">IRR($D$11:F11,-0.9)</f>
        <v>#N/A</v>
      </c>
      <c r="G13" s="72" t="e">
        <f aca="false">IRR($D$11:G11,-0.9)</f>
        <v>#N/A</v>
      </c>
      <c r="H13" s="72" t="e">
        <f aca="false">IRR($D$11:H11,-0.9)</f>
        <v>#N/A</v>
      </c>
      <c r="I13" s="72" t="e">
        <f aca="false">IRR($D$11:I11,-0.9)</f>
        <v>#N/A</v>
      </c>
      <c r="J13" s="72" t="e">
        <f aca="false">IRR($D$11:J11,-0.9)</f>
        <v>#N/A</v>
      </c>
      <c r="K13" s="72" t="e">
        <f aca="false">IRR($D$11:K11,-0.9)</f>
        <v>#N/A</v>
      </c>
      <c r="L13" s="72" t="e">
        <f aca="false">IRR($D$11:L11,-0.9)</f>
        <v>#N/A</v>
      </c>
      <c r="M13" s="72" t="e">
        <f aca="false">IRR($D$11:M11,-0.9)</f>
        <v>#N/A</v>
      </c>
      <c r="N13" s="72" t="e">
        <f aca="false">IRR($D$11:N11,-0.9)</f>
        <v>#N/A</v>
      </c>
      <c r="O13" s="72" t="e">
        <f aca="false">IRR($D$11:O11,-0.9)</f>
        <v>#N/A</v>
      </c>
      <c r="P13" s="72" t="e">
        <f aca="false">IRR($D$11:P11,-0.9)</f>
        <v>#N/A</v>
      </c>
      <c r="Q13" s="72" t="e">
        <f aca="false">IRR($D$11:Q11,-0.9)</f>
        <v>#N/A</v>
      </c>
      <c r="R13" s="72" t="e">
        <f aca="false">IRR($D$11:R11,-0.9)</f>
        <v>#N/A</v>
      </c>
      <c r="S13" s="72" t="e">
        <f aca="false">IRR($D$11:S11,-0.9)</f>
        <v>#N/A</v>
      </c>
      <c r="T13" s="72" t="e">
        <f aca="false">IRR($D$11:T11,-0.9)</f>
        <v>#N/A</v>
      </c>
      <c r="U13" s="72" t="e">
        <f aca="false">IRR($D$11:U11,-0.9)</f>
        <v>#N/A</v>
      </c>
      <c r="V13" s="72" t="e">
        <f aca="false">IRR($D$11:V11,-0.9)</f>
        <v>#N/A</v>
      </c>
      <c r="W13" s="72" t="e">
        <f aca="false">IRR($D$11:W11,-0.9)</f>
        <v>#N/A</v>
      </c>
      <c r="X13" s="72" t="e">
        <f aca="false">IRR($D$11:X11,-0.9)</f>
        <v>#N/A</v>
      </c>
      <c r="Y13" s="72" t="e">
        <f aca="false">IRR($D$11:Y11,-0.9)</f>
        <v>#N/A</v>
      </c>
      <c r="Z13" s="72" t="e">
        <f aca="false">IRR($D$11:Z11,-0.9)</f>
        <v>#N/A</v>
      </c>
      <c r="AA13" s="72" t="e">
        <f aca="false">IRR($D$11:AA11)</f>
        <v>#N/A</v>
      </c>
      <c r="AB13" s="72" t="e">
        <f aca="false">IRR($D$11:AB11)</f>
        <v>#N/A</v>
      </c>
      <c r="AC13" s="72" t="e">
        <f aca="false">IRR($D$11:AC11)</f>
        <v>#N/A</v>
      </c>
      <c r="AD13" s="72" t="e">
        <f aca="false">IRR($D$11:AD11)</f>
        <v>#N/A</v>
      </c>
      <c r="AE13" s="72" t="e">
        <f aca="false">IRR($D$11:AE11)</f>
        <v>#N/A</v>
      </c>
      <c r="AF13" s="151" t="e">
        <f aca="false">IRR($D$11:AF11)</f>
        <v>#N/A</v>
      </c>
      <c r="AG13" s="207"/>
      <c r="AI13" s="1" t="n">
        <f aca="false">AI12+1</f>
        <v>9</v>
      </c>
    </row>
    <row r="14" customFormat="false" ht="13.5" hidden="false" customHeight="false" outlineLevel="0" collapsed="false">
      <c r="A14" s="29"/>
      <c r="B14" s="30"/>
      <c r="C14" s="30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4"/>
      <c r="AG14" s="207"/>
      <c r="AI14" s="1" t="n">
        <f aca="false">AI13+1</f>
        <v>10</v>
      </c>
    </row>
    <row r="15" customFormat="false" ht="12.75" hidden="false" customHeight="false" outlineLevel="0" collapsed="false">
      <c r="A15" s="29"/>
      <c r="B15" s="20" t="s">
        <v>269</v>
      </c>
      <c r="C15" s="285" t="n">
        <f aca="false">DISC</f>
        <v>0.1</v>
      </c>
      <c r="D15" s="286" t="e">
        <f aca="false">AF12</f>
        <v>#N/A</v>
      </c>
      <c r="E15" s="217"/>
      <c r="F15" s="287"/>
      <c r="G15" s="288"/>
      <c r="H15" s="288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4"/>
      <c r="AG15" s="207"/>
      <c r="AI15" s="1" t="n">
        <f aca="false">AI14+1</f>
        <v>11</v>
      </c>
    </row>
    <row r="16" customFormat="false" ht="12.75" hidden="false" customHeight="false" outlineLevel="0" collapsed="false">
      <c r="A16" s="29"/>
      <c r="B16" s="47" t="s">
        <v>270</v>
      </c>
      <c r="C16" s="30"/>
      <c r="D16" s="289" t="e">
        <f aca="false">AF13</f>
        <v>#N/A</v>
      </c>
      <c r="E16" s="290"/>
      <c r="F16" s="283"/>
      <c r="G16" s="283"/>
      <c r="H16" s="291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4"/>
      <c r="AG16" s="207"/>
      <c r="AI16" s="1" t="n">
        <f aca="false">AI15+1</f>
        <v>12</v>
      </c>
    </row>
    <row r="17" customFormat="false" ht="13.5" hidden="false" customHeight="false" outlineLevel="0" collapsed="false">
      <c r="A17" s="57"/>
      <c r="B17" s="292" t="s">
        <v>271</v>
      </c>
      <c r="C17" s="98"/>
      <c r="D17" s="293" t="e">
        <f aca="false">MAX(F17:AF17)</f>
        <v>#N/A</v>
      </c>
      <c r="E17" s="294" t="n">
        <f aca="false">IF(AND(E12&gt;0,C12&lt;0),E5,0)</f>
        <v>0</v>
      </c>
      <c r="F17" s="295" t="e">
        <f aca="false">IF(AND(F12&gt;0,D12&lt;0),F5,0)</f>
        <v>#N/A</v>
      </c>
      <c r="G17" s="295" t="e">
        <f aca="false">IF(AND(G12&gt;0,F12&lt;0),G5,0)</f>
        <v>#N/A</v>
      </c>
      <c r="H17" s="295" t="e">
        <f aca="false">IF(AND(H12&gt;0,G12&lt;0),H5,0)</f>
        <v>#N/A</v>
      </c>
      <c r="I17" s="295" t="e">
        <f aca="false">IF(AND(I12&gt;0,H12&lt;0),I5,0)</f>
        <v>#N/A</v>
      </c>
      <c r="J17" s="295" t="e">
        <f aca="false">IF(AND(J12&gt;0,I12&lt;0),J5,0)</f>
        <v>#N/A</v>
      </c>
      <c r="K17" s="295" t="e">
        <f aca="false">IF(AND(K12&gt;0,J12&lt;0),K5,0)</f>
        <v>#N/A</v>
      </c>
      <c r="L17" s="295" t="e">
        <f aca="false">IF(AND(L12&gt;0,K12&lt;0),L5,0)</f>
        <v>#N/A</v>
      </c>
      <c r="M17" s="295" t="e">
        <f aca="false">IF(AND(M12&gt;0,L12&lt;0),M5,0)</f>
        <v>#N/A</v>
      </c>
      <c r="N17" s="295" t="e">
        <f aca="false">IF(AND(N12&gt;0,M12&lt;0),N5,0)</f>
        <v>#N/A</v>
      </c>
      <c r="O17" s="295" t="e">
        <f aca="false">IF(AND(O12&gt;0,N12&lt;0),O5,0)</f>
        <v>#N/A</v>
      </c>
      <c r="P17" s="295" t="e">
        <f aca="false">IF(AND(P12&gt;0,O12&lt;0),P5,0)</f>
        <v>#N/A</v>
      </c>
      <c r="Q17" s="295" t="e">
        <f aca="false">IF(AND(Q12&gt;0,P12&lt;0),Q5,0)</f>
        <v>#N/A</v>
      </c>
      <c r="R17" s="295" t="e">
        <f aca="false">IF(AND(R12&gt;0,Q12&lt;0),R5,0)</f>
        <v>#N/A</v>
      </c>
      <c r="S17" s="295" t="e">
        <f aca="false">IF(AND(S12&gt;0,R12&lt;0),S5,0)</f>
        <v>#N/A</v>
      </c>
      <c r="T17" s="295" t="e">
        <f aca="false">IF(AND(T12&gt;0,S12&lt;0),T5,0)</f>
        <v>#N/A</v>
      </c>
      <c r="U17" s="295" t="e">
        <f aca="false">IF(AND(U12&gt;0,T12&lt;0),U5,0)</f>
        <v>#N/A</v>
      </c>
      <c r="V17" s="295" t="e">
        <f aca="false">IF(AND(V12&gt;0,U12&lt;0),V5,0)</f>
        <v>#N/A</v>
      </c>
      <c r="W17" s="295" t="e">
        <f aca="false">IF(AND(W12&gt;0,V12&lt;0),W5,0)</f>
        <v>#N/A</v>
      </c>
      <c r="X17" s="295" t="e">
        <f aca="false">IF(AND(X12&gt;0,W12&lt;0),X5,0)</f>
        <v>#N/A</v>
      </c>
      <c r="Y17" s="295" t="e">
        <f aca="false">IF(AND(Y12&gt;0,X12&lt;0),Y5,0)</f>
        <v>#N/A</v>
      </c>
      <c r="Z17" s="295" t="e">
        <f aca="false">IF(AND(Z12&gt;0,Y12&lt;0),Z5,0)</f>
        <v>#N/A</v>
      </c>
      <c r="AA17" s="295" t="e">
        <f aca="false">IF(AND(AA12&gt;0,Z12&lt;0),AA5,0)</f>
        <v>#N/A</v>
      </c>
      <c r="AB17" s="295" t="e">
        <f aca="false">IF(AND(AB12&gt;0,AA12&lt;0),AB5,0)</f>
        <v>#N/A</v>
      </c>
      <c r="AC17" s="295" t="e">
        <f aca="false">IF(AND(AC12&gt;0,AB12&lt;0),AC5,0)</f>
        <v>#N/A</v>
      </c>
      <c r="AD17" s="295" t="e">
        <f aca="false">IF(AND(AD12&gt;0,AC12&lt;0),AD5,0)</f>
        <v>#N/A</v>
      </c>
      <c r="AE17" s="295" t="e">
        <f aca="false">IF(AND(AE12&gt;0,AD12&lt;0),AE5,0)</f>
        <v>#N/A</v>
      </c>
      <c r="AF17" s="296" t="e">
        <f aca="false">IF(AND(AF12&gt;0,AE12&lt;0),AF5,0)</f>
        <v>#N/A</v>
      </c>
      <c r="AG17" s="202"/>
      <c r="AI17" s="1" t="n">
        <f aca="false">AI16+1</f>
        <v>13</v>
      </c>
    </row>
    <row r="18" customFormat="false" ht="12.75" hidden="false" customHeight="false" outlineLevel="0" collapsed="false">
      <c r="A18" s="30"/>
      <c r="B18" s="30"/>
      <c r="C18" s="30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30"/>
      <c r="AI18" s="1" t="n">
        <f aca="false">AI17+1</f>
        <v>14</v>
      </c>
    </row>
    <row r="19" customFormat="false" ht="12.75" hidden="false" customHeight="false" outlineLevel="0" collapsed="false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I19" s="1" t="n">
        <f aca="false">AI18+1</f>
        <v>15</v>
      </c>
    </row>
    <row r="20" customFormat="false" ht="12.75" hidden="false" customHeight="false" outlineLevel="0" collapsed="false">
      <c r="A20" s="13" t="s">
        <v>272</v>
      </c>
      <c r="B20" s="15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7"/>
      <c r="AG20" s="194"/>
      <c r="AI20" s="1" t="n">
        <f aca="false">AI19+1</f>
        <v>16</v>
      </c>
    </row>
    <row r="21" customFormat="false" ht="12.75" hidden="false" customHeight="false" outlineLevel="0" collapsed="false">
      <c r="A21" s="297" t="n">
        <f aca="false">ASS!$I$32</f>
        <v>1</v>
      </c>
      <c r="B21" s="30" t="s">
        <v>264</v>
      </c>
      <c r="C21" s="30"/>
      <c r="D21" s="212" t="n">
        <f aca="false">D9*$A$21</f>
        <v>0</v>
      </c>
      <c r="E21" s="212" t="n">
        <f aca="false">E9*$A$21</f>
        <v>0</v>
      </c>
      <c r="F21" s="212" t="e">
        <f aca="false">F9*$A$21</f>
        <v>#N/A</v>
      </c>
      <c r="G21" s="212" t="e">
        <f aca="false">G9*$A$21</f>
        <v>#N/A</v>
      </c>
      <c r="H21" s="212" t="e">
        <f aca="false">H9*$A$21</f>
        <v>#N/A</v>
      </c>
      <c r="I21" s="212" t="e">
        <f aca="false">I9*$A$21</f>
        <v>#N/A</v>
      </c>
      <c r="J21" s="212" t="e">
        <f aca="false">J9*$A$21</f>
        <v>#N/A</v>
      </c>
      <c r="K21" s="212" t="e">
        <f aca="false">K9*$A$21</f>
        <v>#N/A</v>
      </c>
      <c r="L21" s="212" t="e">
        <f aca="false">L9*$A$21</f>
        <v>#N/A</v>
      </c>
      <c r="M21" s="212" t="e">
        <f aca="false">M9*$A$21</f>
        <v>#N/A</v>
      </c>
      <c r="N21" s="212" t="e">
        <f aca="false">N9*$A$21</f>
        <v>#N/A</v>
      </c>
      <c r="O21" s="212" t="e">
        <f aca="false">O9*$A$21</f>
        <v>#N/A</v>
      </c>
      <c r="P21" s="212" t="e">
        <f aca="false">P9*$A$21</f>
        <v>#N/A</v>
      </c>
      <c r="Q21" s="212" t="e">
        <f aca="false">Q9*$A$21</f>
        <v>#N/A</v>
      </c>
      <c r="R21" s="212" t="e">
        <f aca="false">R9*$A$21</f>
        <v>#N/A</v>
      </c>
      <c r="S21" s="212" t="e">
        <f aca="false">S9*$A$21</f>
        <v>#N/A</v>
      </c>
      <c r="T21" s="212" t="e">
        <f aca="false">T9*$A$21</f>
        <v>#N/A</v>
      </c>
      <c r="U21" s="212" t="e">
        <f aca="false">U9*$A$21</f>
        <v>#N/A</v>
      </c>
      <c r="V21" s="212" t="e">
        <f aca="false">V9*$A$21</f>
        <v>#N/A</v>
      </c>
      <c r="W21" s="212" t="e">
        <f aca="false">W9*$A$21</f>
        <v>#N/A</v>
      </c>
      <c r="X21" s="212" t="e">
        <f aca="false">X9*$A$21</f>
        <v>#N/A</v>
      </c>
      <c r="Y21" s="212" t="e">
        <f aca="false">Y9*$A$21</f>
        <v>#N/A</v>
      </c>
      <c r="Z21" s="212" t="e">
        <f aca="false">Z9*$A$21</f>
        <v>#N/A</v>
      </c>
      <c r="AA21" s="212" t="e">
        <f aca="false">AA9*$A$21</f>
        <v>#N/A</v>
      </c>
      <c r="AB21" s="212" t="e">
        <f aca="false">AB9*$A$21</f>
        <v>#N/A</v>
      </c>
      <c r="AC21" s="212" t="e">
        <f aca="false">AC9*$A$21</f>
        <v>#N/A</v>
      </c>
      <c r="AD21" s="212" t="e">
        <f aca="false">AD9*$A$21</f>
        <v>#N/A</v>
      </c>
      <c r="AE21" s="212" t="e">
        <f aca="false">AE9*$A$21</f>
        <v>#N/A</v>
      </c>
      <c r="AF21" s="76" t="e">
        <f aca="false">AF9*$A$21</f>
        <v>#N/A</v>
      </c>
      <c r="AG21" s="213" t="e">
        <f aca="false">SUM(D21:AF21)</f>
        <v>#N/A</v>
      </c>
      <c r="AI21" s="1" t="n">
        <f aca="false">AI20+1</f>
        <v>17</v>
      </c>
    </row>
    <row r="22" customFormat="false" ht="12.75" hidden="false" customHeight="false" outlineLevel="0" collapsed="false">
      <c r="A22" s="297" t="n">
        <f aca="false">ASS!$J$32</f>
        <v>1</v>
      </c>
      <c r="B22" s="30" t="s">
        <v>265</v>
      </c>
      <c r="C22" s="30"/>
      <c r="D22" s="212" t="n">
        <f aca="false">D10*$A$22</f>
        <v>0</v>
      </c>
      <c r="E22" s="212" t="n">
        <f aca="false">E10*$A$22</f>
        <v>0</v>
      </c>
      <c r="F22" s="212" t="n">
        <f aca="false">F10*$A$22</f>
        <v>0</v>
      </c>
      <c r="G22" s="212" t="e">
        <f aca="false">G10*$A$22</f>
        <v>#REF!</v>
      </c>
      <c r="H22" s="212" t="e">
        <f aca="false">H10*$A$22</f>
        <v>#REF!</v>
      </c>
      <c r="I22" s="212" t="e">
        <f aca="false">I10*$A$22</f>
        <v>#REF!</v>
      </c>
      <c r="J22" s="212" t="e">
        <f aca="false">J10*$A$22</f>
        <v>#REF!</v>
      </c>
      <c r="K22" s="212" t="e">
        <f aca="false">K10*$A$22</f>
        <v>#REF!</v>
      </c>
      <c r="L22" s="212" t="e">
        <f aca="false">L10*$A$22</f>
        <v>#REF!</v>
      </c>
      <c r="M22" s="212" t="e">
        <f aca="false">M10*$A$22</f>
        <v>#REF!</v>
      </c>
      <c r="N22" s="212" t="e">
        <f aca="false">N10*$A$22</f>
        <v>#REF!</v>
      </c>
      <c r="O22" s="212" t="e">
        <f aca="false">O10*$A$22</f>
        <v>#REF!</v>
      </c>
      <c r="P22" s="212" t="e">
        <f aca="false">P10*$A$22</f>
        <v>#REF!</v>
      </c>
      <c r="Q22" s="212" t="e">
        <f aca="false">Q10*$A$22</f>
        <v>#REF!</v>
      </c>
      <c r="R22" s="212" t="e">
        <f aca="false">R10*$A$22</f>
        <v>#REF!</v>
      </c>
      <c r="S22" s="212" t="e">
        <f aca="false">S10*$A$22</f>
        <v>#REF!</v>
      </c>
      <c r="T22" s="212" t="e">
        <f aca="false">T10*$A$22</f>
        <v>#REF!</v>
      </c>
      <c r="U22" s="212" t="e">
        <f aca="false">U10*$A$22</f>
        <v>#REF!</v>
      </c>
      <c r="V22" s="212" t="e">
        <f aca="false">V10*$A$22</f>
        <v>#VALUE!</v>
      </c>
      <c r="W22" s="212" t="e">
        <f aca="false">W10*$A$22</f>
        <v>#REF!</v>
      </c>
      <c r="X22" s="212" t="e">
        <f aca="false">X10*$A$22</f>
        <v>#REF!</v>
      </c>
      <c r="Y22" s="212" t="e">
        <f aca="false">Y10*$A$22</f>
        <v>#REF!</v>
      </c>
      <c r="Z22" s="212" t="e">
        <f aca="false">Z10*$A$22</f>
        <v>#REF!</v>
      </c>
      <c r="AA22" s="212" t="e">
        <f aca="false">AA10*$A$22</f>
        <v>#REF!</v>
      </c>
      <c r="AB22" s="212" t="e">
        <f aca="false">AB10*$A$22</f>
        <v>#REF!</v>
      </c>
      <c r="AC22" s="212" t="e">
        <f aca="false">AC10*$A$22</f>
        <v>#REF!</v>
      </c>
      <c r="AD22" s="212" t="e">
        <f aca="false">AD10*$A$22</f>
        <v>#REF!</v>
      </c>
      <c r="AE22" s="212" t="e">
        <f aca="false">AE10*$A$22</f>
        <v>#REF!</v>
      </c>
      <c r="AF22" s="76" t="e">
        <f aca="false">AF10*$A$22</f>
        <v>#REF!</v>
      </c>
      <c r="AG22" s="213" t="e">
        <f aca="false">SUM(D22:AF22)</f>
        <v>#REF!</v>
      </c>
      <c r="AI22" s="1" t="n">
        <f aca="false">AI21+1</f>
        <v>18</v>
      </c>
    </row>
    <row r="23" customFormat="false" ht="12.75" hidden="false" customHeight="false" outlineLevel="0" collapsed="false">
      <c r="A23" s="29"/>
      <c r="B23" s="30" t="s">
        <v>273</v>
      </c>
      <c r="C23" s="30"/>
      <c r="D23" s="212" t="e">
        <f aca="false">-D22*WHTAX</f>
        <v>#REF!</v>
      </c>
      <c r="E23" s="212" t="e">
        <f aca="false">-E22*WHTAX</f>
        <v>#REF!</v>
      </c>
      <c r="F23" s="212" t="e">
        <f aca="false">-F22*WHTAX</f>
        <v>#REF!</v>
      </c>
      <c r="G23" s="212" t="e">
        <f aca="false">-G22*WHTAX</f>
        <v>#REF!</v>
      </c>
      <c r="H23" s="212" t="e">
        <f aca="false">-H22*WHTAX</f>
        <v>#REF!</v>
      </c>
      <c r="I23" s="212" t="e">
        <f aca="false">-I22*WHTAX</f>
        <v>#REF!</v>
      </c>
      <c r="J23" s="212" t="e">
        <f aca="false">-J22*WHTAX</f>
        <v>#REF!</v>
      </c>
      <c r="K23" s="212" t="e">
        <f aca="false">-K22*WHTAX</f>
        <v>#REF!</v>
      </c>
      <c r="L23" s="212" t="e">
        <f aca="false">-L22*WHTAX</f>
        <v>#REF!</v>
      </c>
      <c r="M23" s="212" t="e">
        <f aca="false">-M22*WHTAX</f>
        <v>#REF!</v>
      </c>
      <c r="N23" s="212" t="e">
        <f aca="false">-N22*WHTAX</f>
        <v>#REF!</v>
      </c>
      <c r="O23" s="212" t="e">
        <f aca="false">-O22*WHTAX</f>
        <v>#REF!</v>
      </c>
      <c r="P23" s="212" t="e">
        <f aca="false">-P22*WHTAX</f>
        <v>#REF!</v>
      </c>
      <c r="Q23" s="212" t="e">
        <f aca="false">-Q22*WHTAX</f>
        <v>#REF!</v>
      </c>
      <c r="R23" s="212" t="e">
        <f aca="false">-R22*WHTAX</f>
        <v>#REF!</v>
      </c>
      <c r="S23" s="212" t="e">
        <f aca="false">-S22*WHTAX</f>
        <v>#REF!</v>
      </c>
      <c r="T23" s="212" t="e">
        <f aca="false">-T22*WHTAX</f>
        <v>#REF!</v>
      </c>
      <c r="U23" s="212" t="e">
        <f aca="false">-U22*WHTAX</f>
        <v>#REF!</v>
      </c>
      <c r="V23" s="212" t="e">
        <f aca="false">-V22*WHTAX</f>
        <v>#VALUE!</v>
      </c>
      <c r="W23" s="212" t="e">
        <f aca="false">-W22*WHTAX</f>
        <v>#REF!</v>
      </c>
      <c r="X23" s="212" t="e">
        <f aca="false">-X22*WHTAX</f>
        <v>#REF!</v>
      </c>
      <c r="Y23" s="212" t="e">
        <f aca="false">-Y22*WHTAX</f>
        <v>#REF!</v>
      </c>
      <c r="Z23" s="212" t="e">
        <f aca="false">-Z22*WHTAX</f>
        <v>#REF!</v>
      </c>
      <c r="AA23" s="212" t="e">
        <f aca="false">-AA22*WHTAX</f>
        <v>#REF!</v>
      </c>
      <c r="AB23" s="212" t="e">
        <f aca="false">-AB22*WHTAX</f>
        <v>#REF!</v>
      </c>
      <c r="AC23" s="212" t="e">
        <f aca="false">-AC22*WHTAX</f>
        <v>#REF!</v>
      </c>
      <c r="AD23" s="212" t="e">
        <f aca="false">-AD22*WHTAX</f>
        <v>#REF!</v>
      </c>
      <c r="AE23" s="212" t="e">
        <f aca="false">-AE22*WHTAX</f>
        <v>#REF!</v>
      </c>
      <c r="AF23" s="76" t="e">
        <f aca="false">-AF22*WHTAX</f>
        <v>#REF!</v>
      </c>
      <c r="AG23" s="213" t="e">
        <f aca="false">SUM(D23:AF23)</f>
        <v>#REF!</v>
      </c>
      <c r="AI23" s="1" t="n">
        <f aca="false">AI22+1</f>
        <v>19</v>
      </c>
      <c r="AL23" s="298" t="e">
        <f aca="false">D23+NPV(DISC,F23:AF23)</f>
        <v>#REF!</v>
      </c>
    </row>
    <row r="24" customFormat="false" ht="12.75" hidden="false" customHeight="false" outlineLevel="0" collapsed="false">
      <c r="A24" s="29"/>
      <c r="B24" s="30" t="s">
        <v>274</v>
      </c>
      <c r="C24" s="141" t="s">
        <v>275</v>
      </c>
      <c r="D24" s="212" t="n">
        <v>0</v>
      </c>
      <c r="E24" s="212" t="n">
        <v>0</v>
      </c>
      <c r="F24" s="212" t="n">
        <v>0</v>
      </c>
      <c r="G24" s="212" t="n">
        <v>0</v>
      </c>
      <c r="H24" s="212" t="n">
        <v>0</v>
      </c>
      <c r="I24" s="212" t="n">
        <v>0</v>
      </c>
      <c r="J24" s="212" t="n">
        <v>0</v>
      </c>
      <c r="K24" s="212" t="n">
        <v>0</v>
      </c>
      <c r="L24" s="212" t="n">
        <v>0</v>
      </c>
      <c r="M24" s="212" t="n">
        <v>0</v>
      </c>
      <c r="N24" s="212" t="n">
        <v>0</v>
      </c>
      <c r="O24" s="212" t="n">
        <v>0</v>
      </c>
      <c r="P24" s="212" t="n">
        <v>0</v>
      </c>
      <c r="Q24" s="212" t="n">
        <v>0</v>
      </c>
      <c r="R24" s="212" t="n">
        <v>0</v>
      </c>
      <c r="S24" s="212" t="n">
        <v>0</v>
      </c>
      <c r="T24" s="212" t="n">
        <v>0</v>
      </c>
      <c r="U24" s="212" t="n">
        <v>0</v>
      </c>
      <c r="V24" s="212" t="n">
        <v>0</v>
      </c>
      <c r="W24" s="212" t="n">
        <v>0</v>
      </c>
      <c r="X24" s="212" t="n">
        <v>0</v>
      </c>
      <c r="Y24" s="212" t="n">
        <v>0</v>
      </c>
      <c r="Z24" s="212" t="n">
        <v>0</v>
      </c>
      <c r="AA24" s="212" t="n">
        <v>0</v>
      </c>
      <c r="AB24" s="212" t="n">
        <v>0</v>
      </c>
      <c r="AC24" s="212" t="n">
        <v>0</v>
      </c>
      <c r="AD24" s="212" t="n">
        <v>0</v>
      </c>
      <c r="AE24" s="212" t="n">
        <v>0</v>
      </c>
      <c r="AF24" s="212" t="n">
        <v>0</v>
      </c>
      <c r="AG24" s="213" t="n">
        <f aca="false">SUM(D24:AF24)</f>
        <v>0</v>
      </c>
      <c r="AI24" s="1" t="n">
        <f aca="false">AI23+1</f>
        <v>20</v>
      </c>
      <c r="AL24" s="298" t="n">
        <f aca="false">D24+NPV(DISC,F24:AF24)</f>
        <v>0</v>
      </c>
    </row>
    <row r="25" customFormat="false" ht="12.75" hidden="false" customHeight="false" outlineLevel="0" collapsed="false">
      <c r="A25" s="29"/>
      <c r="B25" s="30" t="s">
        <v>276</v>
      </c>
      <c r="C25" s="141" t="s">
        <v>275</v>
      </c>
      <c r="D25" s="212" t="n">
        <f aca="false">ASS!$R$36</f>
        <v>0</v>
      </c>
      <c r="E25" s="212" t="n">
        <f aca="false">0</f>
        <v>0</v>
      </c>
      <c r="F25" s="212" t="n">
        <f aca="false">0</f>
        <v>0</v>
      </c>
      <c r="G25" s="212" t="n">
        <f aca="false">0</f>
        <v>0</v>
      </c>
      <c r="H25" s="212" t="n">
        <f aca="false">0</f>
        <v>0</v>
      </c>
      <c r="I25" s="212" t="n">
        <v>0</v>
      </c>
      <c r="J25" s="212" t="n">
        <v>0</v>
      </c>
      <c r="K25" s="212" t="n">
        <v>0</v>
      </c>
      <c r="L25" s="212" t="n">
        <v>0</v>
      </c>
      <c r="M25" s="212" t="n">
        <v>0</v>
      </c>
      <c r="N25" s="212" t="n">
        <v>0</v>
      </c>
      <c r="O25" s="212" t="n">
        <v>0</v>
      </c>
      <c r="P25" s="212" t="n">
        <v>0</v>
      </c>
      <c r="Q25" s="212" t="n">
        <v>0</v>
      </c>
      <c r="R25" s="212" t="n">
        <v>0</v>
      </c>
      <c r="S25" s="212" t="n">
        <v>0</v>
      </c>
      <c r="T25" s="212" t="n">
        <v>0</v>
      </c>
      <c r="U25" s="212" t="n">
        <v>0</v>
      </c>
      <c r="V25" s="212" t="n">
        <v>0</v>
      </c>
      <c r="W25" s="212" t="n">
        <v>0</v>
      </c>
      <c r="X25" s="212" t="n">
        <v>0</v>
      </c>
      <c r="Y25" s="212" t="n">
        <v>0</v>
      </c>
      <c r="Z25" s="212" t="n">
        <v>0</v>
      </c>
      <c r="AA25" s="212" t="n">
        <v>0</v>
      </c>
      <c r="AB25" s="212" t="n">
        <v>0</v>
      </c>
      <c r="AC25" s="212" t="n">
        <v>0</v>
      </c>
      <c r="AD25" s="212" t="n">
        <v>0</v>
      </c>
      <c r="AE25" s="212" t="n">
        <v>0</v>
      </c>
      <c r="AF25" s="76" t="n">
        <v>0</v>
      </c>
      <c r="AG25" s="213" t="n">
        <f aca="false">SUM(D25:AF25)</f>
        <v>0</v>
      </c>
      <c r="AI25" s="1" t="n">
        <f aca="false">AI24+1</f>
        <v>21</v>
      </c>
      <c r="AL25" s="298" t="n">
        <f aca="false">D25+NPV(DISC,F25:AF25)</f>
        <v>0</v>
      </c>
    </row>
    <row r="26" customFormat="false" ht="12.75" hidden="false" customHeight="false" outlineLevel="0" collapsed="false">
      <c r="A26" s="101"/>
      <c r="B26" s="30" t="s">
        <v>277</v>
      </c>
      <c r="C26" s="141"/>
      <c r="D26" s="215" t="n">
        <f aca="false">-SUM(D24:D25)*ASS!$I$15</f>
        <v>-0</v>
      </c>
      <c r="E26" s="215" t="n">
        <f aca="false">-SUM(E24:E25)*ASS!$I$15</f>
        <v>-0</v>
      </c>
      <c r="F26" s="215" t="n">
        <f aca="false">-SUM(F24:F25)*ASS!$I$15</f>
        <v>-0</v>
      </c>
      <c r="G26" s="215" t="n">
        <f aca="false">-SUM(G24:G25)*ASS!$I$15</f>
        <v>-0</v>
      </c>
      <c r="H26" s="215" t="n">
        <f aca="false">-SUM(H24:H25)*ASS!$I$15</f>
        <v>-0</v>
      </c>
      <c r="I26" s="215" t="n">
        <f aca="false">-SUM(I24:I25)*ASS!$I$15</f>
        <v>-0</v>
      </c>
      <c r="J26" s="215" t="n">
        <f aca="false">-SUM(J24:J25)*ASS!$I$15</f>
        <v>-0</v>
      </c>
      <c r="K26" s="215" t="n">
        <f aca="false">-SUM(K24:K25)*ASS!$I$15</f>
        <v>-0</v>
      </c>
      <c r="L26" s="215" t="n">
        <f aca="false">-SUM(L24:L25)*ASS!$I$15</f>
        <v>-0</v>
      </c>
      <c r="M26" s="215" t="n">
        <f aca="false">-SUM(M24:M25)*ASS!$I$15</f>
        <v>-0</v>
      </c>
      <c r="N26" s="215" t="n">
        <f aca="false">-SUM(N24:N25)*ASS!$I$15</f>
        <v>-0</v>
      </c>
      <c r="O26" s="215" t="n">
        <f aca="false">-SUM(O24:O25)*ASS!$I$15</f>
        <v>-0</v>
      </c>
      <c r="P26" s="215" t="n">
        <f aca="false">-SUM(P24:P25)*ASS!$I$15</f>
        <v>-0</v>
      </c>
      <c r="Q26" s="215" t="n">
        <f aca="false">-SUM(Q24:Q25)*ASS!$I$15</f>
        <v>-0</v>
      </c>
      <c r="R26" s="215" t="n">
        <f aca="false">-SUM(R24:R25)*ASS!$I$15</f>
        <v>-0</v>
      </c>
      <c r="S26" s="215" t="n">
        <f aca="false">-SUM(S24:S25)*ASS!$I$15</f>
        <v>-0</v>
      </c>
      <c r="T26" s="215" t="n">
        <f aca="false">-SUM(T24:T25)*ASS!$I$15</f>
        <v>-0</v>
      </c>
      <c r="U26" s="215" t="n">
        <f aca="false">-SUM(U24:U25)*ASS!$I$15</f>
        <v>-0</v>
      </c>
      <c r="V26" s="215" t="n">
        <f aca="false">-SUM(V24:V25)*ASS!$I$15</f>
        <v>-0</v>
      </c>
      <c r="W26" s="215" t="n">
        <f aca="false">-SUM(W24:W25)*ASS!$I$15</f>
        <v>-0</v>
      </c>
      <c r="X26" s="215" t="n">
        <f aca="false">-SUM(X24:X25)*ASS!$I$15</f>
        <v>-0</v>
      </c>
      <c r="Y26" s="215" t="n">
        <f aca="false">-SUM(Y24:Y25)*ASS!$I$15</f>
        <v>-0</v>
      </c>
      <c r="Z26" s="215" t="n">
        <f aca="false">-SUM(Z24:Z25)*ASS!$I$15</f>
        <v>-0</v>
      </c>
      <c r="AA26" s="215" t="n">
        <f aca="false">-SUM(AA24:AA25)*ASS!$I$15</f>
        <v>-0</v>
      </c>
      <c r="AB26" s="215" t="n">
        <f aca="false">-SUM(AB24:AB25)*ASS!$I$15</f>
        <v>-0</v>
      </c>
      <c r="AC26" s="215" t="n">
        <f aca="false">-SUM(AC24:AC25)*ASS!$I$15</f>
        <v>-0</v>
      </c>
      <c r="AD26" s="215" t="n">
        <f aca="false">-SUM(AD24:AD25)*ASS!$I$15</f>
        <v>-0</v>
      </c>
      <c r="AE26" s="215" t="n">
        <f aca="false">-SUM(AE24:AE25)*ASS!$I$15</f>
        <v>-0</v>
      </c>
      <c r="AF26" s="215" t="n">
        <f aca="false">-SUM(AF24:AF25)*ASS!$I$15</f>
        <v>-0</v>
      </c>
      <c r="AG26" s="216" t="n">
        <f aca="false">SUM(D26:AF26)</f>
        <v>0</v>
      </c>
      <c r="AH26" s="282"/>
      <c r="AI26" s="1" t="n">
        <f aca="false">AI25+1</f>
        <v>22</v>
      </c>
      <c r="AJ26" s="282"/>
      <c r="AK26" s="282"/>
      <c r="AL26" s="298" t="n">
        <f aca="false">D26+NPV(DISC,F26:AF26)</f>
        <v>0</v>
      </c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  <c r="BQ26" s="282"/>
      <c r="BR26" s="282"/>
      <c r="BS26" s="282"/>
      <c r="BT26" s="282"/>
      <c r="BU26" s="282"/>
      <c r="BV26" s="282"/>
      <c r="BW26" s="282"/>
      <c r="BX26" s="282"/>
      <c r="BY26" s="282"/>
      <c r="BZ26" s="282"/>
      <c r="CA26" s="282"/>
      <c r="CB26" s="282"/>
      <c r="CC26" s="282"/>
      <c r="CD26" s="282"/>
      <c r="CE26" s="282"/>
      <c r="CF26" s="282"/>
      <c r="CG26" s="282"/>
      <c r="CH26" s="282"/>
      <c r="CI26" s="282"/>
      <c r="CJ26" s="282"/>
      <c r="CK26" s="282"/>
      <c r="CL26" s="282"/>
      <c r="CM26" s="282"/>
      <c r="CN26" s="282"/>
      <c r="CO26" s="282"/>
      <c r="CP26" s="282"/>
      <c r="CQ26" s="282"/>
      <c r="CR26" s="282"/>
      <c r="CS26" s="282"/>
      <c r="CT26" s="282"/>
      <c r="CU26" s="282"/>
      <c r="CV26" s="282"/>
      <c r="CW26" s="282"/>
      <c r="CX26" s="282"/>
      <c r="CY26" s="282"/>
      <c r="CZ26" s="282"/>
      <c r="DA26" s="282"/>
      <c r="DB26" s="282"/>
      <c r="DC26" s="282"/>
      <c r="DD26" s="282"/>
      <c r="DE26" s="282"/>
      <c r="DF26" s="282"/>
      <c r="DG26" s="282"/>
      <c r="DH26" s="282"/>
      <c r="DI26" s="282"/>
      <c r="DJ26" s="282"/>
      <c r="DK26" s="282"/>
      <c r="DL26" s="282"/>
      <c r="DM26" s="282"/>
      <c r="DN26" s="282"/>
      <c r="DO26" s="282"/>
      <c r="DP26" s="282"/>
      <c r="DQ26" s="282"/>
      <c r="DR26" s="282"/>
      <c r="DS26" s="282"/>
      <c r="DT26" s="282"/>
      <c r="DU26" s="282"/>
      <c r="DV26" s="282"/>
      <c r="DW26" s="282"/>
      <c r="DX26" s="282"/>
      <c r="DY26" s="282"/>
      <c r="DZ26" s="282"/>
      <c r="EA26" s="282"/>
      <c r="EB26" s="282"/>
      <c r="EC26" s="282"/>
      <c r="ED26" s="282"/>
      <c r="EE26" s="282"/>
      <c r="EF26" s="282"/>
      <c r="EG26" s="282"/>
      <c r="EH26" s="282"/>
      <c r="EI26" s="282"/>
      <c r="EJ26" s="282"/>
      <c r="EK26" s="282"/>
      <c r="EL26" s="282"/>
      <c r="EM26" s="282"/>
      <c r="EN26" s="282"/>
      <c r="EO26" s="282"/>
      <c r="EP26" s="282"/>
      <c r="EQ26" s="282"/>
      <c r="ER26" s="282"/>
      <c r="ES26" s="282"/>
      <c r="ET26" s="282"/>
      <c r="EU26" s="282"/>
      <c r="EV26" s="282"/>
      <c r="EW26" s="282"/>
      <c r="EX26" s="282"/>
      <c r="EY26" s="282"/>
      <c r="EZ26" s="282"/>
      <c r="FA26" s="282"/>
      <c r="FB26" s="282"/>
      <c r="FC26" s="282"/>
      <c r="FD26" s="282"/>
      <c r="FE26" s="282"/>
      <c r="FF26" s="282"/>
      <c r="FG26" s="282"/>
      <c r="FH26" s="282"/>
      <c r="FI26" s="282"/>
      <c r="FJ26" s="282"/>
      <c r="FK26" s="282"/>
      <c r="FL26" s="282"/>
      <c r="FM26" s="282"/>
      <c r="FN26" s="282"/>
      <c r="FO26" s="282"/>
      <c r="FP26" s="282"/>
      <c r="FQ26" s="282"/>
      <c r="FR26" s="282"/>
      <c r="FS26" s="282"/>
      <c r="FT26" s="282"/>
      <c r="FU26" s="282"/>
      <c r="FV26" s="282"/>
      <c r="FW26" s="282"/>
      <c r="FX26" s="282"/>
      <c r="FY26" s="282"/>
      <c r="FZ26" s="282"/>
      <c r="GA26" s="282"/>
      <c r="GB26" s="282"/>
      <c r="GC26" s="282"/>
      <c r="GD26" s="282"/>
      <c r="GE26" s="282"/>
      <c r="GF26" s="282"/>
      <c r="GG26" s="282"/>
      <c r="GH26" s="282"/>
      <c r="GI26" s="282"/>
      <c r="GJ26" s="282"/>
      <c r="GK26" s="282"/>
      <c r="GL26" s="282"/>
      <c r="GM26" s="282"/>
      <c r="GN26" s="282"/>
      <c r="GO26" s="282"/>
      <c r="GP26" s="282"/>
      <c r="GQ26" s="282"/>
      <c r="GR26" s="282"/>
      <c r="GS26" s="282"/>
      <c r="GT26" s="282"/>
      <c r="GU26" s="282"/>
      <c r="GV26" s="282"/>
      <c r="GW26" s="282"/>
      <c r="GX26" s="282"/>
      <c r="GY26" s="282"/>
      <c r="GZ26" s="282"/>
      <c r="HA26" s="282"/>
      <c r="HB26" s="282"/>
      <c r="HC26" s="282"/>
      <c r="HD26" s="282"/>
      <c r="HE26" s="282"/>
      <c r="HF26" s="282"/>
      <c r="HG26" s="282"/>
      <c r="HH26" s="282"/>
      <c r="HI26" s="282"/>
      <c r="HJ26" s="282"/>
      <c r="HK26" s="282"/>
      <c r="HL26" s="282"/>
      <c r="HM26" s="282"/>
      <c r="HN26" s="282"/>
      <c r="HO26" s="282"/>
      <c r="HP26" s="282"/>
      <c r="HQ26" s="282"/>
      <c r="HR26" s="282"/>
      <c r="HS26" s="282"/>
      <c r="HT26" s="282"/>
      <c r="HU26" s="282"/>
      <c r="HV26" s="282"/>
      <c r="HW26" s="282"/>
      <c r="HX26" s="282"/>
      <c r="HY26" s="282"/>
      <c r="HZ26" s="282"/>
      <c r="IA26" s="282"/>
      <c r="IB26" s="282"/>
      <c r="IC26" s="282"/>
      <c r="ID26" s="282"/>
      <c r="IE26" s="282"/>
      <c r="IF26" s="282"/>
      <c r="IG26" s="282"/>
      <c r="IH26" s="282"/>
      <c r="II26" s="282"/>
      <c r="IJ26" s="282"/>
      <c r="IK26" s="282"/>
      <c r="IL26" s="282"/>
      <c r="IM26" s="282"/>
      <c r="IN26" s="282"/>
      <c r="IO26" s="282"/>
      <c r="IP26" s="282"/>
      <c r="IQ26" s="282"/>
      <c r="IR26" s="282"/>
      <c r="IS26" s="282"/>
      <c r="IT26" s="282"/>
      <c r="IU26" s="282"/>
      <c r="IV26" s="282"/>
      <c r="IW26" s="282"/>
    </row>
    <row r="27" customFormat="false" ht="12.75" hidden="false" customHeight="false" outlineLevel="0" collapsed="false">
      <c r="A27" s="299"/>
      <c r="B27" s="30" t="s">
        <v>266</v>
      </c>
      <c r="C27" s="30"/>
      <c r="D27" s="279" t="e">
        <f aca="false">SUM(D21:D26)</f>
        <v>#REF!</v>
      </c>
      <c r="E27" s="279" t="e">
        <f aca="false">SUM(E21:E26)</f>
        <v>#REF!</v>
      </c>
      <c r="F27" s="279" t="e">
        <f aca="false">SUM(F21:F26)</f>
        <v>#N/A</v>
      </c>
      <c r="G27" s="279" t="e">
        <f aca="false">SUM(G21:G26)</f>
        <v>#N/A</v>
      </c>
      <c r="H27" s="279" t="e">
        <f aca="false">SUM(H21:H26)</f>
        <v>#N/A</v>
      </c>
      <c r="I27" s="279" t="e">
        <f aca="false">SUM(I21:I26)</f>
        <v>#N/A</v>
      </c>
      <c r="J27" s="279" t="e">
        <f aca="false">SUM(J21:J26)</f>
        <v>#N/A</v>
      </c>
      <c r="K27" s="279" t="e">
        <f aca="false">SUM(K21:K26)</f>
        <v>#N/A</v>
      </c>
      <c r="L27" s="279" t="e">
        <f aca="false">SUM(L21:L26)</f>
        <v>#N/A</v>
      </c>
      <c r="M27" s="279" t="e">
        <f aca="false">SUM(M21:M26)</f>
        <v>#N/A</v>
      </c>
      <c r="N27" s="279" t="e">
        <f aca="false">SUM(N21:N26)</f>
        <v>#N/A</v>
      </c>
      <c r="O27" s="279" t="e">
        <f aca="false">SUM(O21:O26)</f>
        <v>#N/A</v>
      </c>
      <c r="P27" s="279" t="e">
        <f aca="false">SUM(P21:P26)</f>
        <v>#N/A</v>
      </c>
      <c r="Q27" s="279" t="e">
        <f aca="false">SUM(Q21:Q26)</f>
        <v>#N/A</v>
      </c>
      <c r="R27" s="279" t="e">
        <f aca="false">SUM(R21:R26)</f>
        <v>#N/A</v>
      </c>
      <c r="S27" s="279" t="e">
        <f aca="false">SUM(S21:S26)</f>
        <v>#N/A</v>
      </c>
      <c r="T27" s="279" t="e">
        <f aca="false">SUM(T21:T26)</f>
        <v>#N/A</v>
      </c>
      <c r="U27" s="279" t="e">
        <f aca="false">SUM(U21:U26)</f>
        <v>#N/A</v>
      </c>
      <c r="V27" s="279" t="e">
        <f aca="false">SUM(V21:V26)</f>
        <v>#N/A</v>
      </c>
      <c r="W27" s="279" t="e">
        <f aca="false">SUM(W21:W26)</f>
        <v>#N/A</v>
      </c>
      <c r="X27" s="279" t="e">
        <f aca="false">SUM(X21:X26)</f>
        <v>#N/A</v>
      </c>
      <c r="Y27" s="279" t="e">
        <f aca="false">SUM(Y21:Y26)</f>
        <v>#N/A</v>
      </c>
      <c r="Z27" s="279" t="e">
        <f aca="false">SUM(Z21:Z26)</f>
        <v>#N/A</v>
      </c>
      <c r="AA27" s="279" t="e">
        <f aca="false">SUM(AA21:AA26)</f>
        <v>#N/A</v>
      </c>
      <c r="AB27" s="279" t="e">
        <f aca="false">SUM(AB21:AB26)</f>
        <v>#N/A</v>
      </c>
      <c r="AC27" s="279" t="e">
        <f aca="false">SUM(AC21:AC26)</f>
        <v>#N/A</v>
      </c>
      <c r="AD27" s="279" t="e">
        <f aca="false">SUM(AD21:AD26)</f>
        <v>#N/A</v>
      </c>
      <c r="AE27" s="279" t="e">
        <f aca="false">SUM(AE21:AE26)</f>
        <v>#N/A</v>
      </c>
      <c r="AF27" s="280" t="e">
        <f aca="false">SUM(AF21:AF26)</f>
        <v>#N/A</v>
      </c>
      <c r="AG27" s="281" t="e">
        <f aca="false">SUM(D27:AF27)</f>
        <v>#REF!</v>
      </c>
      <c r="AH27" s="300"/>
      <c r="AI27" s="1" t="n">
        <f aca="false">AI26+1</f>
        <v>23</v>
      </c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300"/>
      <c r="BI27" s="300"/>
      <c r="BJ27" s="300"/>
      <c r="BK27" s="300"/>
      <c r="BL27" s="300"/>
      <c r="BM27" s="300"/>
      <c r="BN27" s="300"/>
      <c r="BO27" s="300"/>
      <c r="BP27" s="300"/>
      <c r="BQ27" s="300"/>
      <c r="BR27" s="300"/>
      <c r="BS27" s="300"/>
      <c r="BT27" s="300"/>
      <c r="BU27" s="300"/>
      <c r="BV27" s="300"/>
      <c r="BW27" s="300"/>
      <c r="BX27" s="300"/>
      <c r="BY27" s="300"/>
      <c r="BZ27" s="300"/>
      <c r="CA27" s="300"/>
      <c r="CB27" s="300"/>
      <c r="CC27" s="300"/>
      <c r="CD27" s="300"/>
      <c r="CE27" s="300"/>
      <c r="CF27" s="300"/>
      <c r="CG27" s="300"/>
      <c r="CH27" s="300"/>
      <c r="CI27" s="300"/>
      <c r="CJ27" s="300"/>
      <c r="CK27" s="300"/>
      <c r="CL27" s="300"/>
      <c r="CM27" s="300"/>
      <c r="CN27" s="300"/>
      <c r="CO27" s="300"/>
      <c r="CP27" s="300"/>
      <c r="CQ27" s="300"/>
      <c r="CR27" s="300"/>
      <c r="CS27" s="300"/>
      <c r="CT27" s="300"/>
      <c r="CU27" s="300"/>
      <c r="CV27" s="300"/>
      <c r="CW27" s="300"/>
      <c r="CX27" s="300"/>
      <c r="CY27" s="300"/>
      <c r="CZ27" s="300"/>
      <c r="DA27" s="300"/>
      <c r="DB27" s="300"/>
      <c r="DC27" s="300"/>
      <c r="DD27" s="300"/>
      <c r="DE27" s="300"/>
      <c r="DF27" s="300"/>
      <c r="DG27" s="300"/>
      <c r="DH27" s="300"/>
      <c r="DI27" s="300"/>
      <c r="DJ27" s="300"/>
      <c r="DK27" s="300"/>
      <c r="DL27" s="300"/>
      <c r="DM27" s="300"/>
      <c r="DN27" s="300"/>
      <c r="DO27" s="300"/>
      <c r="DP27" s="300"/>
      <c r="DQ27" s="300"/>
      <c r="DR27" s="300"/>
      <c r="DS27" s="300"/>
      <c r="DT27" s="300"/>
      <c r="DU27" s="300"/>
      <c r="DV27" s="300"/>
      <c r="DW27" s="300"/>
      <c r="DX27" s="300"/>
      <c r="DY27" s="300"/>
      <c r="DZ27" s="300"/>
      <c r="EA27" s="300"/>
      <c r="EB27" s="300"/>
      <c r="EC27" s="300"/>
      <c r="ED27" s="300"/>
      <c r="EE27" s="300"/>
      <c r="EF27" s="300"/>
      <c r="EG27" s="300"/>
      <c r="EH27" s="300"/>
      <c r="EI27" s="300"/>
      <c r="EJ27" s="300"/>
      <c r="EK27" s="300"/>
      <c r="EL27" s="300"/>
      <c r="EM27" s="300"/>
      <c r="EN27" s="300"/>
      <c r="EO27" s="300"/>
      <c r="EP27" s="300"/>
      <c r="EQ27" s="300"/>
      <c r="ER27" s="300"/>
      <c r="ES27" s="300"/>
      <c r="ET27" s="300"/>
      <c r="EU27" s="300"/>
      <c r="EV27" s="300"/>
      <c r="EW27" s="300"/>
      <c r="EX27" s="300"/>
      <c r="EY27" s="300"/>
      <c r="EZ27" s="300"/>
      <c r="FA27" s="300"/>
      <c r="FB27" s="300"/>
      <c r="FC27" s="300"/>
      <c r="FD27" s="300"/>
      <c r="FE27" s="300"/>
      <c r="FF27" s="300"/>
      <c r="FG27" s="300"/>
      <c r="FH27" s="300"/>
      <c r="FI27" s="300"/>
      <c r="FJ27" s="300"/>
      <c r="FK27" s="300"/>
      <c r="FL27" s="300"/>
      <c r="FM27" s="300"/>
      <c r="FN27" s="300"/>
      <c r="FO27" s="300"/>
      <c r="FP27" s="300"/>
      <c r="FQ27" s="300"/>
      <c r="FR27" s="300"/>
      <c r="FS27" s="300"/>
      <c r="FT27" s="300"/>
      <c r="FU27" s="300"/>
      <c r="FV27" s="300"/>
      <c r="FW27" s="300"/>
      <c r="FX27" s="300"/>
      <c r="FY27" s="300"/>
      <c r="FZ27" s="300"/>
      <c r="GA27" s="300"/>
      <c r="GB27" s="300"/>
      <c r="GC27" s="300"/>
      <c r="GD27" s="300"/>
      <c r="GE27" s="300"/>
      <c r="GF27" s="300"/>
      <c r="GG27" s="300"/>
      <c r="GH27" s="300"/>
      <c r="GI27" s="300"/>
      <c r="GJ27" s="300"/>
      <c r="GK27" s="300"/>
      <c r="GL27" s="300"/>
      <c r="GM27" s="300"/>
      <c r="GN27" s="300"/>
      <c r="GO27" s="300"/>
      <c r="GP27" s="300"/>
      <c r="GQ27" s="300"/>
      <c r="GR27" s="300"/>
      <c r="GS27" s="300"/>
      <c r="GT27" s="300"/>
      <c r="GU27" s="300"/>
      <c r="GV27" s="300"/>
      <c r="GW27" s="300"/>
      <c r="GX27" s="300"/>
      <c r="GY27" s="300"/>
      <c r="GZ27" s="300"/>
      <c r="HA27" s="300"/>
      <c r="HB27" s="300"/>
      <c r="HC27" s="300"/>
      <c r="HD27" s="300"/>
      <c r="HE27" s="300"/>
      <c r="HF27" s="300"/>
      <c r="HG27" s="300"/>
      <c r="HH27" s="300"/>
      <c r="HI27" s="300"/>
      <c r="HJ27" s="300"/>
      <c r="HK27" s="300"/>
      <c r="HL27" s="300"/>
      <c r="HM27" s="300"/>
      <c r="HN27" s="300"/>
      <c r="HO27" s="300"/>
      <c r="HP27" s="300"/>
      <c r="HQ27" s="300"/>
      <c r="HR27" s="300"/>
      <c r="HS27" s="300"/>
      <c r="HT27" s="300"/>
      <c r="HU27" s="300"/>
      <c r="HV27" s="300"/>
      <c r="HW27" s="300"/>
      <c r="HX27" s="300"/>
      <c r="HY27" s="300"/>
      <c r="HZ27" s="300"/>
      <c r="IA27" s="300"/>
      <c r="IB27" s="300"/>
      <c r="IC27" s="300"/>
      <c r="ID27" s="300"/>
      <c r="IE27" s="300"/>
      <c r="IF27" s="300"/>
      <c r="IG27" s="300"/>
      <c r="IH27" s="300"/>
      <c r="II27" s="300"/>
      <c r="IJ27" s="300"/>
      <c r="IK27" s="300"/>
      <c r="IL27" s="300"/>
      <c r="IM27" s="300"/>
      <c r="IN27" s="300"/>
      <c r="IO27" s="300"/>
      <c r="IP27" s="300"/>
      <c r="IQ27" s="300"/>
      <c r="IR27" s="300"/>
      <c r="IS27" s="300"/>
      <c r="IT27" s="300"/>
      <c r="IU27" s="300"/>
      <c r="IV27" s="300"/>
      <c r="IW27" s="300"/>
    </row>
    <row r="28" customFormat="false" ht="12.75" hidden="false" customHeight="false" outlineLevel="0" collapsed="false">
      <c r="A28" s="29"/>
      <c r="B28" s="30" t="s">
        <v>267</v>
      </c>
      <c r="C28" s="30"/>
      <c r="D28" s="212" t="e">
        <f aca="false">D27</f>
        <v>#REF!</v>
      </c>
      <c r="E28" s="212" t="e">
        <f aca="false">$D$27+NPV(DISC,E$27:$E27)</f>
        <v>#REF!</v>
      </c>
      <c r="F28" s="212" t="e">
        <f aca="false">$D$27+NPV(DISC,$E$27:F27)</f>
        <v>#REF!</v>
      </c>
      <c r="G28" s="212" t="e">
        <f aca="false">$D$27+NPV(DISC,$E$27:G27)</f>
        <v>#REF!</v>
      </c>
      <c r="H28" s="212" t="e">
        <f aca="false">$D$27+NPV(DISC,$E$27:H27)</f>
        <v>#REF!</v>
      </c>
      <c r="I28" s="212" t="e">
        <f aca="false">$D$27+NPV(DISC,$E$27:I27)</f>
        <v>#REF!</v>
      </c>
      <c r="J28" s="212" t="e">
        <f aca="false">$D$27+NPV(DISC,$E$27:J27)</f>
        <v>#REF!</v>
      </c>
      <c r="K28" s="212" t="e">
        <f aca="false">$D$27+NPV(DISC,$E$27:K27)</f>
        <v>#REF!</v>
      </c>
      <c r="L28" s="212" t="e">
        <f aca="false">$D$27+NPV(DISC,$E$27:L27)</f>
        <v>#REF!</v>
      </c>
      <c r="M28" s="212" t="e">
        <f aca="false">$D$27+NPV(DISC,$E$27:M27)</f>
        <v>#REF!</v>
      </c>
      <c r="N28" s="212" t="e">
        <f aca="false">$D$27+NPV(DISC,$E$27:N27)</f>
        <v>#REF!</v>
      </c>
      <c r="O28" s="212" t="e">
        <f aca="false">$D$27+NPV(DISC,$E$27:O27)</f>
        <v>#REF!</v>
      </c>
      <c r="P28" s="212" t="e">
        <f aca="false">$D$27+NPV(DISC,$E$27:P27)</f>
        <v>#REF!</v>
      </c>
      <c r="Q28" s="212" t="e">
        <f aca="false">$D$27+NPV(DISC,$E$27:Q27)</f>
        <v>#REF!</v>
      </c>
      <c r="R28" s="212" t="e">
        <f aca="false">$D$27+NPV(DISC,$E$27:R27)</f>
        <v>#REF!</v>
      </c>
      <c r="S28" s="212" t="e">
        <f aca="false">$D$27+NPV(DISC,$E$27:S27)</f>
        <v>#REF!</v>
      </c>
      <c r="T28" s="212" t="e">
        <f aca="false">$D$27+NPV(DISC,$E$27:T27)</f>
        <v>#REF!</v>
      </c>
      <c r="U28" s="212" t="e">
        <f aca="false">$D$27+NPV(DISC,$E$27:U27)</f>
        <v>#REF!</v>
      </c>
      <c r="V28" s="212" t="e">
        <f aca="false">$D$27+NPV(DISC,$E$27:V27)</f>
        <v>#REF!</v>
      </c>
      <c r="W28" s="212" t="e">
        <f aca="false">$D$27+NPV(DISC,$E$27:W27)</f>
        <v>#REF!</v>
      </c>
      <c r="X28" s="212" t="e">
        <f aca="false">$D$27+NPV(DISC,$E$27:X27)</f>
        <v>#REF!</v>
      </c>
      <c r="Y28" s="212" t="e">
        <f aca="false">$D$27+NPV(DISC,$E$27:Y27)</f>
        <v>#REF!</v>
      </c>
      <c r="Z28" s="212" t="e">
        <f aca="false">$D$27+NPV(DISC,$E$27:Z27)</f>
        <v>#REF!</v>
      </c>
      <c r="AA28" s="212" t="e">
        <f aca="false">$D$27+NPV(DISC,$E$27:AA27)</f>
        <v>#REF!</v>
      </c>
      <c r="AB28" s="212" t="e">
        <f aca="false">$D$27+NPV(DISC,$E$27:AB27)</f>
        <v>#REF!</v>
      </c>
      <c r="AC28" s="212" t="e">
        <f aca="false">$D$27+NPV(DISC,$E$27:AC27)</f>
        <v>#REF!</v>
      </c>
      <c r="AD28" s="212" t="e">
        <f aca="false">$D$27+NPV(DISC,$E$27:AD27)</f>
        <v>#REF!</v>
      </c>
      <c r="AE28" s="212" t="e">
        <f aca="false">$D$27+NPV(DISC,$E$27:AE27)</f>
        <v>#REF!</v>
      </c>
      <c r="AF28" s="76" t="e">
        <f aca="false">$D$27+NPV(DISC,$E$27:AF27)</f>
        <v>#REF!</v>
      </c>
      <c r="AG28" s="213"/>
      <c r="AI28" s="1" t="n">
        <f aca="false">AI27+1</f>
        <v>24</v>
      </c>
    </row>
    <row r="29" customFormat="false" ht="12.75" hidden="false" customHeight="false" outlineLevel="0" collapsed="false">
      <c r="A29" s="29"/>
      <c r="B29" s="30" t="s">
        <v>268</v>
      </c>
      <c r="C29" s="30"/>
      <c r="D29" s="72" t="e">
        <f aca="false">IF(D27=0,0,IRR($D$27:D27))</f>
        <v>#REF!</v>
      </c>
      <c r="E29" s="72" t="e">
        <f aca="false">IF(E27=0,0,IRR($D$27:E27))</f>
        <v>#REF!</v>
      </c>
      <c r="F29" s="72" t="e">
        <f aca="false">IF(F27=0,0,IRR($D$27:F27))</f>
        <v>#N/A</v>
      </c>
      <c r="G29" s="72" t="e">
        <f aca="false">IF(G27=0,0,IRR($D$27:G27))</f>
        <v>#N/A</v>
      </c>
      <c r="H29" s="72" t="e">
        <f aca="false">IF(H27=0,0,IRR($D$27:H27))</f>
        <v>#N/A</v>
      </c>
      <c r="I29" s="72" t="e">
        <f aca="false">IF(I27=0,0,IRR($D$27:I27))</f>
        <v>#N/A</v>
      </c>
      <c r="J29" s="72" t="e">
        <f aca="false">IF(J27=0,0,IRR($D$27:J27))</f>
        <v>#N/A</v>
      </c>
      <c r="K29" s="72" t="e">
        <f aca="false">IF(K27=0,0,IRR($D$27:K27))</f>
        <v>#N/A</v>
      </c>
      <c r="L29" s="72" t="e">
        <f aca="false">IF(L27=0,0,IRR($D$27:L27))</f>
        <v>#N/A</v>
      </c>
      <c r="M29" s="72" t="e">
        <f aca="false">IF(M27=0,0,IRR($D$27:M27))</f>
        <v>#N/A</v>
      </c>
      <c r="N29" s="72" t="e">
        <f aca="false">IF(N27=0,0,IRR($D$27:N27))</f>
        <v>#N/A</v>
      </c>
      <c r="O29" s="72" t="e">
        <f aca="false">IF(O27=0,0,IRR($D$27:O27))</f>
        <v>#N/A</v>
      </c>
      <c r="P29" s="72" t="e">
        <f aca="false">IF(P27=0,0,IRR($D$27:P27))</f>
        <v>#N/A</v>
      </c>
      <c r="Q29" s="72" t="e">
        <f aca="false">IF(Q27=0,0,IRR($D$27:Q27))</f>
        <v>#N/A</v>
      </c>
      <c r="R29" s="72" t="e">
        <f aca="false">IF(R27=0,0,IRR($D$27:R27))</f>
        <v>#N/A</v>
      </c>
      <c r="S29" s="72" t="e">
        <f aca="false">IF(S27=0,0,IRR($D$27:S27))</f>
        <v>#N/A</v>
      </c>
      <c r="T29" s="72" t="e">
        <f aca="false">IF(T27=0,0,IRR($D$27:T27))</f>
        <v>#N/A</v>
      </c>
      <c r="U29" s="72" t="e">
        <f aca="false">IF(U27=0,0,IRR($D$27:U27))</f>
        <v>#N/A</v>
      </c>
      <c r="V29" s="72" t="e">
        <f aca="false">IF(V27=0,0,IRR($D$27:V27))</f>
        <v>#N/A</v>
      </c>
      <c r="W29" s="72" t="e">
        <f aca="false">IF(W27=0,0,IRR($D$27:W27))</f>
        <v>#N/A</v>
      </c>
      <c r="X29" s="72" t="e">
        <f aca="false">IF(X27=0,0,IRR($D$27:X27))</f>
        <v>#N/A</v>
      </c>
      <c r="Y29" s="72" t="e">
        <f aca="false">IF(Y27=0,0,IRR($D$27:Y27))</f>
        <v>#N/A</v>
      </c>
      <c r="Z29" s="72" t="e">
        <f aca="false">IF(Z27=0,0,IRR($D$27:Z27))</f>
        <v>#N/A</v>
      </c>
      <c r="AA29" s="72" t="e">
        <f aca="false">IF(AA27=0,0,IRR($D$27:AA27))</f>
        <v>#N/A</v>
      </c>
      <c r="AB29" s="72" t="e">
        <f aca="false">IF(AB27=0,0,IRR($D$27:AB27))</f>
        <v>#N/A</v>
      </c>
      <c r="AC29" s="72" t="e">
        <f aca="false">IF(AC27=0,0,IRR($D$27:AC27))</f>
        <v>#N/A</v>
      </c>
      <c r="AD29" s="72" t="e">
        <f aca="false">IF(AD27=0,0,IRR($D$27:AD27))</f>
        <v>#N/A</v>
      </c>
      <c r="AE29" s="72" t="e">
        <f aca="false">IF(AE27=0,0,IRR($D$27:AE27))</f>
        <v>#N/A</v>
      </c>
      <c r="AF29" s="151" t="e">
        <f aca="false">IF(AF27=0,0,IRR($D$27:AF27))</f>
        <v>#N/A</v>
      </c>
      <c r="AG29" s="207"/>
      <c r="AI29" s="1" t="n">
        <f aca="false">AI28+1</f>
        <v>25</v>
      </c>
    </row>
    <row r="30" customFormat="false" ht="13.5" hidden="false" customHeight="false" outlineLevel="0" collapsed="false">
      <c r="A30" s="29"/>
      <c r="B30" s="30"/>
      <c r="C30" s="30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4"/>
      <c r="AG30" s="207"/>
      <c r="AI30" s="1" t="n">
        <f aca="false">AI29+1</f>
        <v>26</v>
      </c>
    </row>
    <row r="31" customFormat="false" ht="12.75" hidden="false" customHeight="false" outlineLevel="0" collapsed="false">
      <c r="A31" s="29"/>
      <c r="B31" s="20" t="s">
        <v>278</v>
      </c>
      <c r="C31" s="285" t="n">
        <f aca="false">ASS!V12</f>
        <v>0.1</v>
      </c>
      <c r="D31" s="286" t="e">
        <f aca="false">AF28</f>
        <v>#REF!</v>
      </c>
      <c r="E31" s="217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4"/>
      <c r="AG31" s="207"/>
      <c r="AI31" s="1" t="n">
        <f aca="false">AI30+1</f>
        <v>27</v>
      </c>
    </row>
    <row r="32" customFormat="false" ht="12.75" hidden="false" customHeight="false" outlineLevel="0" collapsed="false">
      <c r="A32" s="29"/>
      <c r="B32" s="47" t="s">
        <v>279</v>
      </c>
      <c r="C32" s="91"/>
      <c r="D32" s="289" t="e">
        <f aca="false">AF29</f>
        <v>#N/A</v>
      </c>
      <c r="E32" s="290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4"/>
      <c r="AG32" s="207"/>
      <c r="AI32" s="1" t="n">
        <f aca="false">AI31+1</f>
        <v>28</v>
      </c>
    </row>
    <row r="33" customFormat="false" ht="13.5" hidden="false" customHeight="false" outlineLevel="0" collapsed="false">
      <c r="A33" s="57"/>
      <c r="B33" s="292" t="s">
        <v>271</v>
      </c>
      <c r="C33" s="301"/>
      <c r="D33" s="302" t="e">
        <f aca="false">MAX(F33:AF33)</f>
        <v>#REF!</v>
      </c>
      <c r="E33" s="217" t="e">
        <f aca="false">IF(AND(E28&gt;0,C28&lt;0),E5,0)</f>
        <v>#REF!</v>
      </c>
      <c r="F33" s="303" t="e">
        <f aca="false">IF(AND(F28&gt;0,D28&lt;0),F5,0)</f>
        <v>#REF!</v>
      </c>
      <c r="G33" s="303" t="e">
        <f aca="false">IF(AND(G28&gt;0,F28&lt;0),G5,0)</f>
        <v>#REF!</v>
      </c>
      <c r="H33" s="303" t="e">
        <f aca="false">IF(AND(H28&gt;0,G28&lt;0),H5,0)</f>
        <v>#REF!</v>
      </c>
      <c r="I33" s="303" t="e">
        <f aca="false">IF(AND(I28&gt;0,H28&lt;0),I5,0)</f>
        <v>#REF!</v>
      </c>
      <c r="J33" s="303" t="e">
        <f aca="false">IF(AND(J28&gt;0,I28&lt;0),J5,0)</f>
        <v>#REF!</v>
      </c>
      <c r="K33" s="303" t="e">
        <f aca="false">IF(AND(K28&gt;0,J28&lt;0),K5,0)</f>
        <v>#REF!</v>
      </c>
      <c r="L33" s="303" t="e">
        <f aca="false">IF(AND(L28&gt;0,K28&lt;0),L5,0)</f>
        <v>#REF!</v>
      </c>
      <c r="M33" s="303" t="e">
        <f aca="false">IF(AND(M28&gt;0,L28&lt;0),M5,0)</f>
        <v>#REF!</v>
      </c>
      <c r="N33" s="303" t="e">
        <f aca="false">IF(AND(N28&gt;0,M28&lt;0),N5,0)</f>
        <v>#REF!</v>
      </c>
      <c r="O33" s="303" t="e">
        <f aca="false">IF(AND(O28&gt;0,N28&lt;0),O5,0)</f>
        <v>#REF!</v>
      </c>
      <c r="P33" s="303" t="e">
        <f aca="false">IF(AND(P28&gt;0,O28&lt;0),P5,0)</f>
        <v>#REF!</v>
      </c>
      <c r="Q33" s="303" t="e">
        <f aca="false">IF(AND(Q28&gt;0,P28&lt;0),Q5,0)</f>
        <v>#REF!</v>
      </c>
      <c r="R33" s="303" t="e">
        <f aca="false">IF(AND(R28&gt;0,Q28&lt;0),R5,0)</f>
        <v>#REF!</v>
      </c>
      <c r="S33" s="303" t="e">
        <f aca="false">IF(AND(S28&gt;0,R28&lt;0),S5,0)</f>
        <v>#REF!</v>
      </c>
      <c r="T33" s="303" t="e">
        <f aca="false">IF(AND(T28&gt;0,S28&lt;0),T5,0)</f>
        <v>#REF!</v>
      </c>
      <c r="U33" s="303" t="e">
        <f aca="false">IF(AND(U28&gt;0,T28&lt;0),U5,0)</f>
        <v>#REF!</v>
      </c>
      <c r="V33" s="303" t="e">
        <f aca="false">IF(AND(V28&gt;0,U28&lt;0),V5,0)</f>
        <v>#REF!</v>
      </c>
      <c r="W33" s="303" t="e">
        <f aca="false">IF(AND(W28&gt;0,V28&lt;0),W5,0)</f>
        <v>#REF!</v>
      </c>
      <c r="X33" s="303" t="e">
        <f aca="false">IF(AND(X28&gt;0,W28&lt;0),X5,0)</f>
        <v>#REF!</v>
      </c>
      <c r="Y33" s="303" t="e">
        <f aca="false">IF(AND(Y28&gt;0,X28&lt;0),Y5,0)</f>
        <v>#REF!</v>
      </c>
      <c r="Z33" s="303" t="e">
        <f aca="false">IF(AND(Z28&gt;0,Y28&lt;0),Z5,0)</f>
        <v>#REF!</v>
      </c>
      <c r="AA33" s="303" t="e">
        <f aca="false">IF(AND(AA28&gt;0,Z28&lt;0),AA5,0)</f>
        <v>#REF!</v>
      </c>
      <c r="AB33" s="303" t="e">
        <f aca="false">IF(AND(AB28&gt;0,AA28&lt;0),AB5,0)</f>
        <v>#REF!</v>
      </c>
      <c r="AC33" s="303" t="e">
        <f aca="false">IF(AND(AC28&gt;0,AB28&lt;0),AC5,0)</f>
        <v>#REF!</v>
      </c>
      <c r="AD33" s="303" t="e">
        <f aca="false">IF(AND(AD28&gt;0,AC28&lt;0),AD5,0)</f>
        <v>#REF!</v>
      </c>
      <c r="AE33" s="303" t="e">
        <f aca="false">IF(AND(AE28&gt;0,AD28&lt;0),AE5,0)</f>
        <v>#REF!</v>
      </c>
      <c r="AF33" s="84" t="e">
        <f aca="false">IF(AND(AF28&gt;0,AE28&lt;0),AF5,0)</f>
        <v>#REF!</v>
      </c>
      <c r="AG33" s="202"/>
      <c r="AI33" s="1" t="n">
        <f aca="false">AI32+1</f>
        <v>29</v>
      </c>
    </row>
    <row r="34" customFormat="false" ht="12.75" hidden="false" customHeight="false" outlineLevel="0" collapsed="false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I34" s="1" t="n">
        <f aca="false">AI33+1</f>
        <v>30</v>
      </c>
    </row>
    <row r="35" customFormat="false" ht="12.75" hidden="false" customHeight="false" outlineLevel="0" collapsed="false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I35" s="1" t="n">
        <f aca="false">AI34+1</f>
        <v>31</v>
      </c>
    </row>
    <row r="36" customFormat="false" ht="12.75" hidden="false" customHeight="false" outlineLevel="0" collapsed="false">
      <c r="A36" s="304" t="s">
        <v>280</v>
      </c>
      <c r="B36" s="15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7"/>
      <c r="AG36" s="194"/>
      <c r="AI36" s="1" t="n">
        <f aca="false">AI35+1</f>
        <v>32</v>
      </c>
    </row>
    <row r="37" customFormat="false" ht="12.75" hidden="false" customHeight="false" outlineLevel="0" collapsed="false">
      <c r="A37" s="297" t="e">
        <f aca="false">#REF!</f>
        <v>#REF!</v>
      </c>
      <c r="B37" s="30" t="s">
        <v>264</v>
      </c>
      <c r="C37" s="30"/>
      <c r="D37" s="212" t="e">
        <f aca="false">D9*$A$37</f>
        <v>#REF!</v>
      </c>
      <c r="E37" s="212" t="e">
        <f aca="false">E9*$A$37</f>
        <v>#REF!</v>
      </c>
      <c r="F37" s="212" t="e">
        <f aca="false">F9*$A$37</f>
        <v>#REF!</v>
      </c>
      <c r="G37" s="212" t="e">
        <f aca="false">G9*$A$37</f>
        <v>#REF!</v>
      </c>
      <c r="H37" s="212" t="e">
        <f aca="false">H9*$A$37</f>
        <v>#REF!</v>
      </c>
      <c r="I37" s="212" t="e">
        <f aca="false">I9*$A$37</f>
        <v>#REF!</v>
      </c>
      <c r="J37" s="212" t="e">
        <f aca="false">J9*$A$37</f>
        <v>#REF!</v>
      </c>
      <c r="K37" s="212" t="e">
        <f aca="false">K9*$A$37</f>
        <v>#REF!</v>
      </c>
      <c r="L37" s="212" t="e">
        <f aca="false">L9*$A$37</f>
        <v>#REF!</v>
      </c>
      <c r="M37" s="212" t="e">
        <f aca="false">M9*$A$37</f>
        <v>#REF!</v>
      </c>
      <c r="N37" s="212" t="e">
        <f aca="false">N9*$A$37</f>
        <v>#REF!</v>
      </c>
      <c r="O37" s="212" t="e">
        <f aca="false">O9*$A$37</f>
        <v>#REF!</v>
      </c>
      <c r="P37" s="212" t="e">
        <f aca="false">P9*$A$37</f>
        <v>#REF!</v>
      </c>
      <c r="Q37" s="212" t="e">
        <f aca="false">Q9*$A$37</f>
        <v>#REF!</v>
      </c>
      <c r="R37" s="212" t="e">
        <f aca="false">R9*$A$37</f>
        <v>#REF!</v>
      </c>
      <c r="S37" s="212" t="e">
        <f aca="false">S9*$A$37</f>
        <v>#REF!</v>
      </c>
      <c r="T37" s="212" t="e">
        <f aca="false">T9*$A$37</f>
        <v>#REF!</v>
      </c>
      <c r="U37" s="212" t="e">
        <f aca="false">U9*$A$37</f>
        <v>#REF!</v>
      </c>
      <c r="V37" s="212" t="e">
        <f aca="false">V9*$A$37</f>
        <v>#REF!</v>
      </c>
      <c r="W37" s="212" t="e">
        <f aca="false">W9*$A$37</f>
        <v>#REF!</v>
      </c>
      <c r="X37" s="212" t="e">
        <f aca="false">X9*$A$37</f>
        <v>#REF!</v>
      </c>
      <c r="Y37" s="212" t="e">
        <f aca="false">Y9*$A$37</f>
        <v>#REF!</v>
      </c>
      <c r="Z37" s="212" t="e">
        <f aca="false">Z9*$A$37</f>
        <v>#REF!</v>
      </c>
      <c r="AA37" s="212" t="e">
        <f aca="false">AA9*$A$37</f>
        <v>#REF!</v>
      </c>
      <c r="AB37" s="212" t="e">
        <f aca="false">AB9*$A$37</f>
        <v>#REF!</v>
      </c>
      <c r="AC37" s="212" t="e">
        <f aca="false">AC9*$A$37</f>
        <v>#REF!</v>
      </c>
      <c r="AD37" s="212" t="e">
        <f aca="false">AD9*$A$37</f>
        <v>#REF!</v>
      </c>
      <c r="AE37" s="212" t="e">
        <f aca="false">AE9*$A$37</f>
        <v>#REF!</v>
      </c>
      <c r="AF37" s="76" t="e">
        <f aca="false">AF9*$A$37</f>
        <v>#REF!</v>
      </c>
      <c r="AG37" s="213" t="e">
        <f aca="false">SUM(D37:AF37)</f>
        <v>#REF!</v>
      </c>
      <c r="AI37" s="1" t="n">
        <f aca="false">AI36+1</f>
        <v>33</v>
      </c>
    </row>
    <row r="38" customFormat="false" ht="12.75" hidden="false" customHeight="false" outlineLevel="0" collapsed="false">
      <c r="A38" s="297" t="e">
        <f aca="false">#REF!</f>
        <v>#REF!</v>
      </c>
      <c r="B38" s="30" t="s">
        <v>265</v>
      </c>
      <c r="C38" s="30"/>
      <c r="D38" s="212" t="e">
        <f aca="false">D10*$A$38</f>
        <v>#REF!</v>
      </c>
      <c r="E38" s="212" t="e">
        <f aca="false">E10*$A$38</f>
        <v>#REF!</v>
      </c>
      <c r="F38" s="212" t="e">
        <f aca="false">F10*$A$38</f>
        <v>#REF!</v>
      </c>
      <c r="G38" s="212" t="e">
        <f aca="false">G10*$A$38</f>
        <v>#REF!</v>
      </c>
      <c r="H38" s="212" t="e">
        <f aca="false">H10*$A$38</f>
        <v>#REF!</v>
      </c>
      <c r="I38" s="212" t="e">
        <f aca="false">I10*$A$38</f>
        <v>#REF!</v>
      </c>
      <c r="J38" s="212" t="e">
        <f aca="false">J10*$A$38</f>
        <v>#REF!</v>
      </c>
      <c r="K38" s="212" t="e">
        <f aca="false">K10*$A$38</f>
        <v>#REF!</v>
      </c>
      <c r="L38" s="212" t="e">
        <f aca="false">L10*$A$38</f>
        <v>#REF!</v>
      </c>
      <c r="M38" s="212" t="e">
        <f aca="false">M10*$A$38</f>
        <v>#REF!</v>
      </c>
      <c r="N38" s="212" t="e">
        <f aca="false">N10*$A$38</f>
        <v>#REF!</v>
      </c>
      <c r="O38" s="212" t="e">
        <f aca="false">O10*$A$38</f>
        <v>#REF!</v>
      </c>
      <c r="P38" s="212" t="e">
        <f aca="false">P10*$A$38</f>
        <v>#REF!</v>
      </c>
      <c r="Q38" s="212" t="e">
        <f aca="false">Q10*$A$38</f>
        <v>#REF!</v>
      </c>
      <c r="R38" s="212" t="e">
        <f aca="false">R10*$A$38</f>
        <v>#REF!</v>
      </c>
      <c r="S38" s="212" t="e">
        <f aca="false">S10*$A$38</f>
        <v>#REF!</v>
      </c>
      <c r="T38" s="212" t="e">
        <f aca="false">T10*$A$38</f>
        <v>#REF!</v>
      </c>
      <c r="U38" s="212" t="e">
        <f aca="false">U10*$A$38</f>
        <v>#REF!</v>
      </c>
      <c r="V38" s="212" t="e">
        <f aca="false">V10*$A$38</f>
        <v>#REF!</v>
      </c>
      <c r="W38" s="212" t="e">
        <f aca="false">W10*$A$38</f>
        <v>#REF!</v>
      </c>
      <c r="X38" s="212" t="e">
        <f aca="false">X10*$A$38</f>
        <v>#REF!</v>
      </c>
      <c r="Y38" s="212" t="e">
        <f aca="false">Y10*$A$38</f>
        <v>#REF!</v>
      </c>
      <c r="Z38" s="212" t="e">
        <f aca="false">Z10*$A$38</f>
        <v>#REF!</v>
      </c>
      <c r="AA38" s="212" t="e">
        <f aca="false">AA10*$A$38</f>
        <v>#REF!</v>
      </c>
      <c r="AB38" s="212" t="e">
        <f aca="false">AB10*$A$38</f>
        <v>#REF!</v>
      </c>
      <c r="AC38" s="212" t="e">
        <f aca="false">AC10*$A$38</f>
        <v>#REF!</v>
      </c>
      <c r="AD38" s="212" t="e">
        <f aca="false">AD10*$A$38</f>
        <v>#REF!</v>
      </c>
      <c r="AE38" s="212" t="e">
        <f aca="false">AE10*$A$38</f>
        <v>#REF!</v>
      </c>
      <c r="AF38" s="76" t="e">
        <f aca="false">AF10*$A$38</f>
        <v>#REF!</v>
      </c>
      <c r="AG38" s="213" t="e">
        <f aca="false">SUM(D38:AF38)</f>
        <v>#REF!</v>
      </c>
      <c r="AI38" s="1" t="n">
        <f aca="false">AI37+1</f>
        <v>34</v>
      </c>
    </row>
    <row r="39" customFormat="false" ht="12.75" hidden="false" customHeight="false" outlineLevel="0" collapsed="false">
      <c r="A39" s="305"/>
      <c r="B39" s="30" t="s">
        <v>273</v>
      </c>
      <c r="C39" s="30"/>
      <c r="D39" s="215" t="e">
        <f aca="false">-D38*WHTAX</f>
        <v>#REF!</v>
      </c>
      <c r="E39" s="215" t="e">
        <f aca="false">-E38*WHTAX</f>
        <v>#REF!</v>
      </c>
      <c r="F39" s="215" t="e">
        <f aca="false">-F38*WHTAX</f>
        <v>#REF!</v>
      </c>
      <c r="G39" s="215" t="e">
        <f aca="false">-G38*WHTAX</f>
        <v>#REF!</v>
      </c>
      <c r="H39" s="215" t="e">
        <f aca="false">-H38*WHTAX</f>
        <v>#REF!</v>
      </c>
      <c r="I39" s="215" t="e">
        <f aca="false">-I38*WHTAX</f>
        <v>#REF!</v>
      </c>
      <c r="J39" s="215" t="e">
        <f aca="false">-J38*WHTAX</f>
        <v>#REF!</v>
      </c>
      <c r="K39" s="215" t="e">
        <f aca="false">-K38*WHTAX</f>
        <v>#REF!</v>
      </c>
      <c r="L39" s="215" t="e">
        <f aca="false">-L38*WHTAX</f>
        <v>#REF!</v>
      </c>
      <c r="M39" s="215" t="e">
        <f aca="false">-M38*WHTAX</f>
        <v>#REF!</v>
      </c>
      <c r="N39" s="215" t="e">
        <f aca="false">-N38*WHTAX</f>
        <v>#REF!</v>
      </c>
      <c r="O39" s="215" t="e">
        <f aca="false">-O38*WHTAX</f>
        <v>#REF!</v>
      </c>
      <c r="P39" s="215" t="e">
        <f aca="false">-P38*WHTAX</f>
        <v>#REF!</v>
      </c>
      <c r="Q39" s="215" t="e">
        <f aca="false">-Q38*WHTAX</f>
        <v>#REF!</v>
      </c>
      <c r="R39" s="215" t="e">
        <f aca="false">-R38*WHTAX</f>
        <v>#REF!</v>
      </c>
      <c r="S39" s="215" t="e">
        <f aca="false">-S38*WHTAX</f>
        <v>#REF!</v>
      </c>
      <c r="T39" s="215" t="e">
        <f aca="false">-T38*WHTAX</f>
        <v>#REF!</v>
      </c>
      <c r="U39" s="215" t="e">
        <f aca="false">-U38*WHTAX</f>
        <v>#REF!</v>
      </c>
      <c r="V39" s="215" t="e">
        <f aca="false">-V38*WHTAX</f>
        <v>#REF!</v>
      </c>
      <c r="W39" s="215" t="e">
        <f aca="false">-W38*WHTAX</f>
        <v>#REF!</v>
      </c>
      <c r="X39" s="215" t="e">
        <f aca="false">-X38*WHTAX</f>
        <v>#REF!</v>
      </c>
      <c r="Y39" s="215" t="e">
        <f aca="false">-Y38*WHTAX</f>
        <v>#REF!</v>
      </c>
      <c r="Z39" s="215" t="e">
        <f aca="false">-Z38*WHTAX</f>
        <v>#REF!</v>
      </c>
      <c r="AA39" s="215" t="e">
        <f aca="false">-AA38*WHTAX</f>
        <v>#REF!</v>
      </c>
      <c r="AB39" s="215" t="e">
        <f aca="false">-AB38*WHTAX</f>
        <v>#REF!</v>
      </c>
      <c r="AC39" s="215" t="e">
        <f aca="false">-AC38*WHTAX</f>
        <v>#REF!</v>
      </c>
      <c r="AD39" s="215" t="e">
        <f aca="false">-AD38*WHTAX</f>
        <v>#REF!</v>
      </c>
      <c r="AE39" s="215" t="e">
        <f aca="false">-AE38*WHTAX</f>
        <v>#REF!</v>
      </c>
      <c r="AF39" s="306" t="e">
        <f aca="false">-AF38*WHTAX</f>
        <v>#REF!</v>
      </c>
      <c r="AG39" s="216" t="e">
        <f aca="false">SUM(D39:AF39)</f>
        <v>#REF!</v>
      </c>
      <c r="AH39" s="282"/>
      <c r="AI39" s="1" t="n">
        <f aca="false">AI38+1</f>
        <v>35</v>
      </c>
      <c r="AJ39" s="282"/>
      <c r="AK39" s="282"/>
      <c r="AL39" s="298" t="e">
        <f aca="false">D39+NPV(DISC,F39:AF39)</f>
        <v>#REF!</v>
      </c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  <c r="BQ39" s="282"/>
      <c r="BR39" s="282"/>
      <c r="BS39" s="282"/>
      <c r="BT39" s="282"/>
      <c r="BU39" s="282"/>
      <c r="BV39" s="282"/>
      <c r="BW39" s="282"/>
      <c r="BX39" s="282"/>
      <c r="BY39" s="282"/>
      <c r="BZ39" s="282"/>
      <c r="CA39" s="282"/>
      <c r="CB39" s="282"/>
      <c r="CC39" s="282"/>
      <c r="CD39" s="282"/>
      <c r="CE39" s="282"/>
      <c r="CF39" s="282"/>
      <c r="CG39" s="282"/>
      <c r="CH39" s="282"/>
      <c r="CI39" s="282"/>
      <c r="CJ39" s="282"/>
      <c r="CK39" s="282"/>
      <c r="CL39" s="282"/>
      <c r="CM39" s="282"/>
      <c r="CN39" s="282"/>
      <c r="CO39" s="282"/>
      <c r="CP39" s="282"/>
      <c r="CQ39" s="282"/>
      <c r="CR39" s="282"/>
      <c r="CS39" s="282"/>
      <c r="CT39" s="282"/>
      <c r="CU39" s="282"/>
      <c r="CV39" s="282"/>
      <c r="CW39" s="282"/>
      <c r="CX39" s="282"/>
      <c r="CY39" s="282"/>
      <c r="CZ39" s="282"/>
      <c r="DA39" s="282"/>
      <c r="DB39" s="282"/>
      <c r="DC39" s="282"/>
      <c r="DD39" s="282"/>
      <c r="DE39" s="282"/>
      <c r="DF39" s="282"/>
      <c r="DG39" s="282"/>
      <c r="DH39" s="282"/>
      <c r="DI39" s="282"/>
      <c r="DJ39" s="282"/>
      <c r="DK39" s="282"/>
      <c r="DL39" s="282"/>
      <c r="DM39" s="282"/>
      <c r="DN39" s="282"/>
      <c r="DO39" s="282"/>
      <c r="DP39" s="282"/>
      <c r="DQ39" s="282"/>
      <c r="DR39" s="282"/>
      <c r="DS39" s="282"/>
      <c r="DT39" s="282"/>
      <c r="DU39" s="282"/>
      <c r="DV39" s="282"/>
      <c r="DW39" s="282"/>
      <c r="DX39" s="282"/>
      <c r="DY39" s="282"/>
      <c r="DZ39" s="282"/>
      <c r="EA39" s="282"/>
      <c r="EB39" s="282"/>
      <c r="EC39" s="282"/>
      <c r="ED39" s="282"/>
      <c r="EE39" s="282"/>
      <c r="EF39" s="282"/>
      <c r="EG39" s="282"/>
      <c r="EH39" s="282"/>
      <c r="EI39" s="282"/>
      <c r="EJ39" s="282"/>
      <c r="EK39" s="282"/>
      <c r="EL39" s="282"/>
      <c r="EM39" s="282"/>
      <c r="EN39" s="282"/>
      <c r="EO39" s="282"/>
      <c r="EP39" s="282"/>
      <c r="EQ39" s="282"/>
      <c r="ER39" s="282"/>
      <c r="ES39" s="282"/>
      <c r="ET39" s="282"/>
      <c r="EU39" s="282"/>
      <c r="EV39" s="282"/>
      <c r="EW39" s="282"/>
      <c r="EX39" s="282"/>
      <c r="EY39" s="282"/>
      <c r="EZ39" s="282"/>
      <c r="FA39" s="282"/>
      <c r="FB39" s="282"/>
      <c r="FC39" s="282"/>
      <c r="FD39" s="282"/>
      <c r="FE39" s="282"/>
      <c r="FF39" s="282"/>
      <c r="FG39" s="282"/>
      <c r="FH39" s="282"/>
      <c r="FI39" s="282"/>
      <c r="FJ39" s="282"/>
      <c r="FK39" s="282"/>
      <c r="FL39" s="282"/>
      <c r="FM39" s="282"/>
      <c r="FN39" s="282"/>
      <c r="FO39" s="282"/>
      <c r="FP39" s="282"/>
      <c r="FQ39" s="282"/>
      <c r="FR39" s="282"/>
      <c r="FS39" s="282"/>
      <c r="FT39" s="282"/>
      <c r="FU39" s="282"/>
      <c r="FV39" s="282"/>
      <c r="FW39" s="282"/>
      <c r="FX39" s="282"/>
      <c r="FY39" s="282"/>
      <c r="FZ39" s="282"/>
      <c r="GA39" s="282"/>
      <c r="GB39" s="282"/>
      <c r="GC39" s="282"/>
      <c r="GD39" s="282"/>
      <c r="GE39" s="282"/>
      <c r="GF39" s="282"/>
      <c r="GG39" s="282"/>
      <c r="GH39" s="282"/>
      <c r="GI39" s="282"/>
      <c r="GJ39" s="282"/>
      <c r="GK39" s="282"/>
      <c r="GL39" s="282"/>
      <c r="GM39" s="282"/>
      <c r="GN39" s="282"/>
      <c r="GO39" s="282"/>
      <c r="GP39" s="282"/>
      <c r="GQ39" s="282"/>
      <c r="GR39" s="282"/>
      <c r="GS39" s="282"/>
      <c r="GT39" s="282"/>
      <c r="GU39" s="282"/>
      <c r="GV39" s="282"/>
      <c r="GW39" s="282"/>
      <c r="GX39" s="282"/>
      <c r="GY39" s="282"/>
      <c r="GZ39" s="282"/>
      <c r="HA39" s="282"/>
      <c r="HB39" s="282"/>
      <c r="HC39" s="282"/>
      <c r="HD39" s="282"/>
      <c r="HE39" s="282"/>
      <c r="HF39" s="282"/>
      <c r="HG39" s="282"/>
      <c r="HH39" s="282"/>
      <c r="HI39" s="282"/>
      <c r="HJ39" s="282"/>
      <c r="HK39" s="282"/>
      <c r="HL39" s="282"/>
      <c r="HM39" s="282"/>
      <c r="HN39" s="282"/>
      <c r="HO39" s="282"/>
      <c r="HP39" s="282"/>
      <c r="HQ39" s="282"/>
      <c r="HR39" s="282"/>
      <c r="HS39" s="282"/>
      <c r="HT39" s="282"/>
      <c r="HU39" s="282"/>
      <c r="HV39" s="282"/>
      <c r="HW39" s="282"/>
      <c r="HX39" s="282"/>
      <c r="HY39" s="282"/>
      <c r="HZ39" s="282"/>
      <c r="IA39" s="282"/>
      <c r="IB39" s="282"/>
      <c r="IC39" s="282"/>
      <c r="ID39" s="282"/>
      <c r="IE39" s="282"/>
      <c r="IF39" s="282"/>
      <c r="IG39" s="282"/>
      <c r="IH39" s="282"/>
      <c r="II39" s="282"/>
      <c r="IJ39" s="282"/>
      <c r="IK39" s="282"/>
      <c r="IL39" s="282"/>
      <c r="IM39" s="282"/>
      <c r="IN39" s="282"/>
      <c r="IO39" s="282"/>
      <c r="IP39" s="282"/>
      <c r="IQ39" s="282"/>
      <c r="IR39" s="282"/>
      <c r="IS39" s="282"/>
      <c r="IT39" s="282"/>
      <c r="IU39" s="282"/>
      <c r="IV39" s="282"/>
      <c r="IW39" s="282"/>
    </row>
    <row r="40" customFormat="false" ht="12.75" hidden="false" customHeight="false" outlineLevel="0" collapsed="false">
      <c r="A40" s="307"/>
      <c r="B40" s="30" t="s">
        <v>266</v>
      </c>
      <c r="C40" s="30"/>
      <c r="D40" s="279" t="e">
        <f aca="false">SUM(D37:D39)</f>
        <v>#REF!</v>
      </c>
      <c r="E40" s="279" t="e">
        <f aca="false">SUM(E37:E39)</f>
        <v>#REF!</v>
      </c>
      <c r="F40" s="279" t="e">
        <f aca="false">SUM(F37:F39)</f>
        <v>#REF!</v>
      </c>
      <c r="G40" s="279" t="e">
        <f aca="false">SUM(G37:G39)</f>
        <v>#REF!</v>
      </c>
      <c r="H40" s="279" t="e">
        <f aca="false">SUM(H37:H39)</f>
        <v>#REF!</v>
      </c>
      <c r="I40" s="279" t="e">
        <f aca="false">SUM(I37:I39)</f>
        <v>#REF!</v>
      </c>
      <c r="J40" s="279" t="e">
        <f aca="false">SUM(J37:J39)</f>
        <v>#REF!</v>
      </c>
      <c r="K40" s="279" t="e">
        <f aca="false">SUM(K37:K39)</f>
        <v>#REF!</v>
      </c>
      <c r="L40" s="279" t="e">
        <f aca="false">SUM(L37:L39)</f>
        <v>#REF!</v>
      </c>
      <c r="M40" s="279" t="e">
        <f aca="false">SUM(M37:M39)</f>
        <v>#REF!</v>
      </c>
      <c r="N40" s="279" t="e">
        <f aca="false">SUM(N37:N39)</f>
        <v>#REF!</v>
      </c>
      <c r="O40" s="279" t="e">
        <f aca="false">SUM(O37:O39)</f>
        <v>#REF!</v>
      </c>
      <c r="P40" s="279" t="e">
        <f aca="false">SUM(P37:P39)</f>
        <v>#REF!</v>
      </c>
      <c r="Q40" s="279" t="e">
        <f aca="false">SUM(Q37:Q39)</f>
        <v>#REF!</v>
      </c>
      <c r="R40" s="279" t="e">
        <f aca="false">SUM(R37:R39)</f>
        <v>#REF!</v>
      </c>
      <c r="S40" s="279" t="e">
        <f aca="false">SUM(S37:S39)</f>
        <v>#REF!</v>
      </c>
      <c r="T40" s="279" t="e">
        <f aca="false">SUM(T37:T39)</f>
        <v>#REF!</v>
      </c>
      <c r="U40" s="279" t="e">
        <f aca="false">SUM(U37:U39)</f>
        <v>#REF!</v>
      </c>
      <c r="V40" s="279" t="e">
        <f aca="false">SUM(V37:V39)</f>
        <v>#REF!</v>
      </c>
      <c r="W40" s="279" t="e">
        <f aca="false">SUM(W37:W39)</f>
        <v>#REF!</v>
      </c>
      <c r="X40" s="279" t="e">
        <f aca="false">SUM(X37:X39)</f>
        <v>#REF!</v>
      </c>
      <c r="Y40" s="279" t="e">
        <f aca="false">SUM(Y37:Y39)</f>
        <v>#REF!</v>
      </c>
      <c r="Z40" s="279" t="e">
        <f aca="false">SUM(Z37:Z39)</f>
        <v>#REF!</v>
      </c>
      <c r="AA40" s="279" t="e">
        <f aca="false">SUM(AA37:AA39)</f>
        <v>#REF!</v>
      </c>
      <c r="AB40" s="279" t="e">
        <f aca="false">SUM(AB37:AB39)</f>
        <v>#REF!</v>
      </c>
      <c r="AC40" s="279" t="e">
        <f aca="false">SUM(AC37:AC39)</f>
        <v>#REF!</v>
      </c>
      <c r="AD40" s="279" t="e">
        <f aca="false">SUM(AD37:AD39)</f>
        <v>#REF!</v>
      </c>
      <c r="AE40" s="279" t="e">
        <f aca="false">SUM(AE37:AE39)</f>
        <v>#REF!</v>
      </c>
      <c r="AF40" s="280" t="e">
        <f aca="false">SUM(AF37:AF39)</f>
        <v>#REF!</v>
      </c>
      <c r="AG40" s="281" t="e">
        <f aca="false">SUM(D40:AF40)</f>
        <v>#REF!</v>
      </c>
      <c r="AH40" s="300"/>
      <c r="AI40" s="1" t="n">
        <f aca="false">AI39+1</f>
        <v>36</v>
      </c>
      <c r="AJ40" s="300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G40" s="300"/>
      <c r="BH40" s="300"/>
      <c r="BI40" s="300"/>
      <c r="BJ40" s="300"/>
      <c r="BK40" s="300"/>
      <c r="BL40" s="300"/>
      <c r="BM40" s="300"/>
      <c r="BN40" s="300"/>
      <c r="BO40" s="300"/>
      <c r="BP40" s="300"/>
      <c r="BQ40" s="300"/>
      <c r="BR40" s="300"/>
      <c r="BS40" s="300"/>
      <c r="BT40" s="300"/>
      <c r="BU40" s="300"/>
      <c r="BV40" s="300"/>
      <c r="BW40" s="300"/>
      <c r="BX40" s="300"/>
      <c r="BY40" s="300"/>
      <c r="BZ40" s="300"/>
      <c r="CA40" s="300"/>
      <c r="CB40" s="300"/>
      <c r="CC40" s="300"/>
      <c r="CD40" s="300"/>
      <c r="CE40" s="300"/>
      <c r="CF40" s="300"/>
      <c r="CG40" s="300"/>
      <c r="CH40" s="300"/>
      <c r="CI40" s="300"/>
      <c r="CJ40" s="300"/>
      <c r="CK40" s="300"/>
      <c r="CL40" s="300"/>
      <c r="CM40" s="300"/>
      <c r="CN40" s="300"/>
      <c r="CO40" s="300"/>
      <c r="CP40" s="300"/>
      <c r="CQ40" s="300"/>
      <c r="CR40" s="300"/>
      <c r="CS40" s="300"/>
      <c r="CT40" s="300"/>
      <c r="CU40" s="300"/>
      <c r="CV40" s="300"/>
      <c r="CW40" s="300"/>
      <c r="CX40" s="300"/>
      <c r="CY40" s="300"/>
      <c r="CZ40" s="300"/>
      <c r="DA40" s="300"/>
      <c r="DB40" s="300"/>
      <c r="DC40" s="300"/>
      <c r="DD40" s="300"/>
      <c r="DE40" s="300"/>
      <c r="DF40" s="300"/>
      <c r="DG40" s="300"/>
      <c r="DH40" s="300"/>
      <c r="DI40" s="300"/>
      <c r="DJ40" s="300"/>
      <c r="DK40" s="300"/>
      <c r="DL40" s="300"/>
      <c r="DM40" s="300"/>
      <c r="DN40" s="300"/>
      <c r="DO40" s="300"/>
      <c r="DP40" s="300"/>
      <c r="DQ40" s="300"/>
      <c r="DR40" s="300"/>
      <c r="DS40" s="300"/>
      <c r="DT40" s="300"/>
      <c r="DU40" s="300"/>
      <c r="DV40" s="300"/>
      <c r="DW40" s="300"/>
      <c r="DX40" s="300"/>
      <c r="DY40" s="300"/>
      <c r="DZ40" s="300"/>
      <c r="EA40" s="300"/>
      <c r="EB40" s="300"/>
      <c r="EC40" s="300"/>
      <c r="ED40" s="300"/>
      <c r="EE40" s="300"/>
      <c r="EF40" s="300"/>
      <c r="EG40" s="300"/>
      <c r="EH40" s="300"/>
      <c r="EI40" s="300"/>
      <c r="EJ40" s="300"/>
      <c r="EK40" s="300"/>
      <c r="EL40" s="300"/>
      <c r="EM40" s="300"/>
      <c r="EN40" s="300"/>
      <c r="EO40" s="300"/>
      <c r="EP40" s="300"/>
      <c r="EQ40" s="300"/>
      <c r="ER40" s="300"/>
      <c r="ES40" s="300"/>
      <c r="ET40" s="300"/>
      <c r="EU40" s="300"/>
      <c r="EV40" s="300"/>
      <c r="EW40" s="300"/>
      <c r="EX40" s="300"/>
      <c r="EY40" s="300"/>
      <c r="EZ40" s="300"/>
      <c r="FA40" s="300"/>
      <c r="FB40" s="300"/>
      <c r="FC40" s="300"/>
      <c r="FD40" s="300"/>
      <c r="FE40" s="300"/>
      <c r="FF40" s="300"/>
      <c r="FG40" s="300"/>
      <c r="FH40" s="300"/>
      <c r="FI40" s="300"/>
      <c r="FJ40" s="300"/>
      <c r="FK40" s="300"/>
      <c r="FL40" s="300"/>
      <c r="FM40" s="300"/>
      <c r="FN40" s="300"/>
      <c r="FO40" s="300"/>
      <c r="FP40" s="300"/>
      <c r="FQ40" s="300"/>
      <c r="FR40" s="300"/>
      <c r="FS40" s="300"/>
      <c r="FT40" s="300"/>
      <c r="FU40" s="300"/>
      <c r="FV40" s="300"/>
      <c r="FW40" s="300"/>
      <c r="FX40" s="300"/>
      <c r="FY40" s="300"/>
      <c r="FZ40" s="300"/>
      <c r="GA40" s="300"/>
      <c r="GB40" s="300"/>
      <c r="GC40" s="300"/>
      <c r="GD40" s="300"/>
      <c r="GE40" s="300"/>
      <c r="GF40" s="300"/>
      <c r="GG40" s="300"/>
      <c r="GH40" s="300"/>
      <c r="GI40" s="300"/>
      <c r="GJ40" s="300"/>
      <c r="GK40" s="300"/>
      <c r="GL40" s="300"/>
      <c r="GM40" s="300"/>
      <c r="GN40" s="300"/>
      <c r="GO40" s="300"/>
      <c r="GP40" s="300"/>
      <c r="GQ40" s="300"/>
      <c r="GR40" s="300"/>
      <c r="GS40" s="300"/>
      <c r="GT40" s="300"/>
      <c r="GU40" s="300"/>
      <c r="GV40" s="300"/>
      <c r="GW40" s="300"/>
      <c r="GX40" s="300"/>
      <c r="GY40" s="300"/>
      <c r="GZ40" s="300"/>
      <c r="HA40" s="300"/>
      <c r="HB40" s="300"/>
      <c r="HC40" s="300"/>
      <c r="HD40" s="300"/>
      <c r="HE40" s="300"/>
      <c r="HF40" s="300"/>
      <c r="HG40" s="300"/>
      <c r="HH40" s="300"/>
      <c r="HI40" s="300"/>
      <c r="HJ40" s="300"/>
      <c r="HK40" s="300"/>
      <c r="HL40" s="300"/>
      <c r="HM40" s="300"/>
      <c r="HN40" s="300"/>
      <c r="HO40" s="300"/>
      <c r="HP40" s="300"/>
      <c r="HQ40" s="300"/>
      <c r="HR40" s="300"/>
      <c r="HS40" s="300"/>
      <c r="HT40" s="300"/>
      <c r="HU40" s="300"/>
      <c r="HV40" s="300"/>
      <c r="HW40" s="300"/>
      <c r="HX40" s="300"/>
      <c r="HY40" s="300"/>
      <c r="HZ40" s="300"/>
      <c r="IA40" s="300"/>
      <c r="IB40" s="300"/>
      <c r="IC40" s="300"/>
      <c r="ID40" s="300"/>
      <c r="IE40" s="300"/>
      <c r="IF40" s="300"/>
      <c r="IG40" s="300"/>
      <c r="IH40" s="300"/>
      <c r="II40" s="300"/>
      <c r="IJ40" s="300"/>
      <c r="IK40" s="300"/>
      <c r="IL40" s="300"/>
      <c r="IM40" s="300"/>
      <c r="IN40" s="300"/>
      <c r="IO40" s="300"/>
      <c r="IP40" s="300"/>
      <c r="IQ40" s="300"/>
      <c r="IR40" s="300"/>
      <c r="IS40" s="300"/>
      <c r="IT40" s="300"/>
      <c r="IU40" s="300"/>
      <c r="IV40" s="300"/>
      <c r="IW40" s="300"/>
    </row>
    <row r="41" customFormat="false" ht="12.75" hidden="false" customHeight="false" outlineLevel="0" collapsed="false">
      <c r="A41" s="308"/>
      <c r="B41" s="30" t="s">
        <v>267</v>
      </c>
      <c r="C41" s="30"/>
      <c r="D41" s="212" t="e">
        <f aca="false">D40</f>
        <v>#REF!</v>
      </c>
      <c r="E41" s="212" t="e">
        <f aca="false">$D$40+NPV(DISC,E$40:$E40)</f>
        <v>#REF!</v>
      </c>
      <c r="F41" s="212" t="e">
        <f aca="false">$D$40+NPV(DISC,$E$40:F40)</f>
        <v>#REF!</v>
      </c>
      <c r="G41" s="212" t="e">
        <f aca="false">$D$40+NPV(DISC,$E$40:G40)</f>
        <v>#REF!</v>
      </c>
      <c r="H41" s="212" t="e">
        <f aca="false">$D$40+NPV(DISC,$E$40:H40)</f>
        <v>#REF!</v>
      </c>
      <c r="I41" s="212" t="e">
        <f aca="false">$D$40+NPV(DISC,$E$40:I40)</f>
        <v>#REF!</v>
      </c>
      <c r="J41" s="212" t="e">
        <f aca="false">$D$40+NPV(DISC,$E$40:J40)</f>
        <v>#REF!</v>
      </c>
      <c r="K41" s="212" t="e">
        <f aca="false">$D$40+NPV(DISC,$E$40:K40)</f>
        <v>#REF!</v>
      </c>
      <c r="L41" s="212" t="e">
        <f aca="false">$D$40+NPV(DISC,$E$40:L40)</f>
        <v>#REF!</v>
      </c>
      <c r="M41" s="212" t="e">
        <f aca="false">$D$40+NPV(DISC,$E$40:M40)</f>
        <v>#REF!</v>
      </c>
      <c r="N41" s="212" t="e">
        <f aca="false">$D$40+NPV(DISC,$E$40:N40)</f>
        <v>#REF!</v>
      </c>
      <c r="O41" s="212" t="e">
        <f aca="false">$D$40+NPV(DISC,$E$40:O40)</f>
        <v>#REF!</v>
      </c>
      <c r="P41" s="212" t="e">
        <f aca="false">$D$40+NPV(DISC,$E$40:P40)</f>
        <v>#REF!</v>
      </c>
      <c r="Q41" s="212" t="e">
        <f aca="false">$D$40+NPV(DISC,$E$40:Q40)</f>
        <v>#REF!</v>
      </c>
      <c r="R41" s="212" t="e">
        <f aca="false">$D$40+NPV(DISC,$E$40:R40)</f>
        <v>#REF!</v>
      </c>
      <c r="S41" s="212" t="e">
        <f aca="false">$D$40+NPV(DISC,$E$40:S40)</f>
        <v>#REF!</v>
      </c>
      <c r="T41" s="212" t="e">
        <f aca="false">$D$40+NPV(DISC,$E$40:T40)</f>
        <v>#REF!</v>
      </c>
      <c r="U41" s="212" t="e">
        <f aca="false">$D$40+NPV(DISC,$E$40:U40)</f>
        <v>#REF!</v>
      </c>
      <c r="V41" s="212" t="e">
        <f aca="false">$D$40+NPV(DISC,$E$40:V40)</f>
        <v>#REF!</v>
      </c>
      <c r="W41" s="212" t="e">
        <f aca="false">$D$40+NPV(DISC,$E$40:W40)</f>
        <v>#REF!</v>
      </c>
      <c r="X41" s="212" t="e">
        <f aca="false">$D$40+NPV(DISC,$E$40:X40)</f>
        <v>#REF!</v>
      </c>
      <c r="Y41" s="212" t="e">
        <f aca="false">$D$40+NPV(DISC,$E$40:Y40)</f>
        <v>#REF!</v>
      </c>
      <c r="Z41" s="212" t="e">
        <f aca="false">$D$40+NPV(DISC,$E$40:Z40)</f>
        <v>#REF!</v>
      </c>
      <c r="AA41" s="212" t="e">
        <f aca="false">$D$40+NPV(DISC,$E$40:AA40)</f>
        <v>#REF!</v>
      </c>
      <c r="AB41" s="212" t="e">
        <f aca="false">$D$40+NPV(DISC,$E$40:AB40)</f>
        <v>#REF!</v>
      </c>
      <c r="AC41" s="212" t="e">
        <f aca="false">$D$40+NPV(DISC,$E$40:AC40)</f>
        <v>#REF!</v>
      </c>
      <c r="AD41" s="212" t="e">
        <f aca="false">$D$40+NPV(DISC,$E$40:AD40)</f>
        <v>#REF!</v>
      </c>
      <c r="AE41" s="212" t="e">
        <f aca="false">$D$40+NPV(DISC,$E$40:AE40)</f>
        <v>#REF!</v>
      </c>
      <c r="AF41" s="76" t="e">
        <f aca="false">$D$40+NPV(DISC,$E$40:AF40)</f>
        <v>#REF!</v>
      </c>
      <c r="AG41" s="213"/>
      <c r="AI41" s="1" t="n">
        <f aca="false">AI40+1</f>
        <v>37</v>
      </c>
    </row>
    <row r="42" customFormat="false" ht="12.75" hidden="false" customHeight="false" outlineLevel="0" collapsed="false">
      <c r="A42" s="308"/>
      <c r="B42" s="30" t="s">
        <v>268</v>
      </c>
      <c r="C42" s="30"/>
      <c r="D42" s="72" t="e">
        <f aca="false">IRR($D$40:D40,-0.9)</f>
        <v>#REF!</v>
      </c>
      <c r="E42" s="72" t="e">
        <f aca="false">IRR($D$40:E40,-0.9)</f>
        <v>#REF!</v>
      </c>
      <c r="F42" s="72" t="e">
        <f aca="false">IRR($D$40:F40,-0.9)</f>
        <v>#REF!</v>
      </c>
      <c r="G42" s="72" t="e">
        <f aca="false">IRR($D$40:G40,-0.9)</f>
        <v>#REF!</v>
      </c>
      <c r="H42" s="72" t="e">
        <f aca="false">IRR($D$40:H40,-0.9)</f>
        <v>#REF!</v>
      </c>
      <c r="I42" s="72" t="e">
        <f aca="false">IRR($D$40:I40,-0.9)</f>
        <v>#REF!</v>
      </c>
      <c r="J42" s="72" t="e">
        <f aca="false">IRR($D$40:J40,-0.9)</f>
        <v>#REF!</v>
      </c>
      <c r="K42" s="72" t="e">
        <f aca="false">IRR($D$40:K40,-0.9)</f>
        <v>#REF!</v>
      </c>
      <c r="L42" s="72" t="e">
        <f aca="false">IRR($D$40:L40,-0.9)</f>
        <v>#REF!</v>
      </c>
      <c r="M42" s="72" t="e">
        <f aca="false">IRR($D$40:M40,-0.9)</f>
        <v>#REF!</v>
      </c>
      <c r="N42" s="72" t="e">
        <f aca="false">IRR($D$40:N40,-0.9)</f>
        <v>#REF!</v>
      </c>
      <c r="O42" s="72" t="e">
        <f aca="false">IRR($D$40:O40,-0.9)</f>
        <v>#REF!</v>
      </c>
      <c r="P42" s="72" t="e">
        <f aca="false">IRR($D$40:P40,-0.9)</f>
        <v>#REF!</v>
      </c>
      <c r="Q42" s="72" t="e">
        <f aca="false">IRR($D$40:Q40,-0.9)</f>
        <v>#REF!</v>
      </c>
      <c r="R42" s="72" t="e">
        <f aca="false">IRR($D$40:R40,-0.9)</f>
        <v>#REF!</v>
      </c>
      <c r="S42" s="72" t="e">
        <f aca="false">IRR($D$40:S40,-0.9)</f>
        <v>#REF!</v>
      </c>
      <c r="T42" s="72" t="e">
        <f aca="false">IRR($D$40:T40,-0.9)</f>
        <v>#REF!</v>
      </c>
      <c r="U42" s="72" t="e">
        <f aca="false">IRR($D$40:U40,-0.9)</f>
        <v>#REF!</v>
      </c>
      <c r="V42" s="72" t="e">
        <f aca="false">IRR($D$40:V40,-0.9)</f>
        <v>#REF!</v>
      </c>
      <c r="W42" s="72" t="e">
        <f aca="false">IRR($D$40:W40,-0.9)</f>
        <v>#REF!</v>
      </c>
      <c r="X42" s="72" t="e">
        <f aca="false">IRR($D$40:X40,-0.9)</f>
        <v>#REF!</v>
      </c>
      <c r="Y42" s="72" t="e">
        <f aca="false">IRR($D$40:Y40,-0.9)</f>
        <v>#REF!</v>
      </c>
      <c r="Z42" s="72" t="e">
        <f aca="false">IRR($D$40:Z40,-0.9)</f>
        <v>#REF!</v>
      </c>
      <c r="AA42" s="72" t="e">
        <f aca="false">IRR($D$40:AA40)</f>
        <v>#REF!</v>
      </c>
      <c r="AB42" s="72" t="e">
        <f aca="false">IRR($D$40:AB40)</f>
        <v>#REF!</v>
      </c>
      <c r="AC42" s="72" t="e">
        <f aca="false">IRR($D$40:AC40)</f>
        <v>#REF!</v>
      </c>
      <c r="AD42" s="72" t="e">
        <f aca="false">IRR($D$40:AD40)</f>
        <v>#REF!</v>
      </c>
      <c r="AE42" s="72" t="e">
        <f aca="false">IRR($D$40:AE40)</f>
        <v>#REF!</v>
      </c>
      <c r="AF42" s="151" t="e">
        <f aca="false">IRR($D$40:AF40)</f>
        <v>#REF!</v>
      </c>
      <c r="AG42" s="207"/>
      <c r="AI42" s="1" t="n">
        <f aca="false">AI41+1</f>
        <v>38</v>
      </c>
    </row>
    <row r="43" customFormat="false" ht="13.5" hidden="false" customHeight="false" outlineLevel="0" collapsed="false">
      <c r="A43" s="308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4"/>
      <c r="AG43" s="207"/>
      <c r="AI43" s="1" t="n">
        <f aca="false">AI42+1</f>
        <v>39</v>
      </c>
    </row>
    <row r="44" customFormat="false" ht="12.75" hidden="false" customHeight="false" outlineLevel="0" collapsed="false">
      <c r="A44" s="308"/>
      <c r="B44" s="20" t="s">
        <v>281</v>
      </c>
      <c r="C44" s="285" t="n">
        <f aca="false">ASS!V13</f>
        <v>0.1</v>
      </c>
      <c r="D44" s="286" t="e">
        <f aca="false">AF41</f>
        <v>#REF!</v>
      </c>
      <c r="E44" s="217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4"/>
      <c r="AG44" s="207"/>
      <c r="AI44" s="1" t="n">
        <f aca="false">AI43+1</f>
        <v>40</v>
      </c>
    </row>
    <row r="45" customFormat="false" ht="13.5" hidden="false" customHeight="false" outlineLevel="0" collapsed="false">
      <c r="A45" s="309"/>
      <c r="B45" s="292" t="s">
        <v>282</v>
      </c>
      <c r="C45" s="301"/>
      <c r="D45" s="310" t="e">
        <f aca="false">AF42</f>
        <v>#REF!</v>
      </c>
      <c r="E45" s="290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68"/>
      <c r="AG45" s="202"/>
      <c r="AI45" s="1" t="n">
        <f aca="false">AI44+1</f>
        <v>41</v>
      </c>
    </row>
    <row r="46" customFormat="false" ht="12.75" hidden="false" customHeight="false" outlineLevel="0" collapsed="false">
      <c r="A46" s="54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I46" s="1" t="n">
        <f aca="false">AI45+1</f>
        <v>42</v>
      </c>
    </row>
    <row r="47" customFormat="false" ht="12.75" hidden="false" customHeight="false" outlineLevel="0" collapsed="false">
      <c r="A47" s="54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I47" s="1" t="n">
        <f aca="false">AI46+1</f>
        <v>43</v>
      </c>
    </row>
    <row r="48" customFormat="false" ht="12.75" hidden="false" customHeight="false" outlineLevel="0" collapsed="false">
      <c r="A48" s="304" t="s">
        <v>283</v>
      </c>
      <c r="B48" s="15"/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7"/>
      <c r="AG48" s="194"/>
      <c r="AI48" s="1" t="n">
        <f aca="false">AI47+1</f>
        <v>44</v>
      </c>
    </row>
    <row r="49" customFormat="false" ht="12.75" hidden="false" customHeight="false" outlineLevel="0" collapsed="false">
      <c r="A49" s="297" t="e">
        <f aca="false">#REF!</f>
        <v>#REF!</v>
      </c>
      <c r="B49" s="30" t="s">
        <v>264</v>
      </c>
      <c r="C49" s="30"/>
      <c r="D49" s="212" t="e">
        <f aca="false">D9*$A$49</f>
        <v>#REF!</v>
      </c>
      <c r="E49" s="212" t="e">
        <f aca="false">E9*$A$49</f>
        <v>#REF!</v>
      </c>
      <c r="F49" s="212" t="e">
        <f aca="false">F9*$A$49</f>
        <v>#REF!</v>
      </c>
      <c r="G49" s="212" t="e">
        <f aca="false">G9*$A$49</f>
        <v>#REF!</v>
      </c>
      <c r="H49" s="212" t="e">
        <f aca="false">H9*$A$49</f>
        <v>#REF!</v>
      </c>
      <c r="I49" s="212" t="e">
        <f aca="false">I9*$A$49</f>
        <v>#REF!</v>
      </c>
      <c r="J49" s="212" t="e">
        <f aca="false">J9*$A$49</f>
        <v>#REF!</v>
      </c>
      <c r="K49" s="212" t="e">
        <f aca="false">K9*$A$49</f>
        <v>#REF!</v>
      </c>
      <c r="L49" s="212" t="e">
        <f aca="false">L9*$A$49</f>
        <v>#REF!</v>
      </c>
      <c r="M49" s="212" t="e">
        <f aca="false">M9*$A$49</f>
        <v>#REF!</v>
      </c>
      <c r="N49" s="212" t="e">
        <f aca="false">N9*$A$49</f>
        <v>#REF!</v>
      </c>
      <c r="O49" s="212" t="e">
        <f aca="false">O9*$A$49</f>
        <v>#REF!</v>
      </c>
      <c r="P49" s="212" t="e">
        <f aca="false">P9*$A$49</f>
        <v>#REF!</v>
      </c>
      <c r="Q49" s="212" t="e">
        <f aca="false">Q9*$A$49</f>
        <v>#REF!</v>
      </c>
      <c r="R49" s="212" t="e">
        <f aca="false">R9*$A$49</f>
        <v>#REF!</v>
      </c>
      <c r="S49" s="212" t="e">
        <f aca="false">S9*$A$49</f>
        <v>#REF!</v>
      </c>
      <c r="T49" s="212" t="e">
        <f aca="false">T9*$A$49</f>
        <v>#REF!</v>
      </c>
      <c r="U49" s="212" t="e">
        <f aca="false">U9*$A$49</f>
        <v>#REF!</v>
      </c>
      <c r="V49" s="212" t="e">
        <f aca="false">V9*$A$49</f>
        <v>#REF!</v>
      </c>
      <c r="W49" s="212" t="e">
        <f aca="false">W9*$A$49</f>
        <v>#REF!</v>
      </c>
      <c r="X49" s="212" t="e">
        <f aca="false">X9*$A$49</f>
        <v>#REF!</v>
      </c>
      <c r="Y49" s="212" t="e">
        <f aca="false">Y9*$A$49</f>
        <v>#REF!</v>
      </c>
      <c r="Z49" s="212" t="e">
        <f aca="false">Z9*$A$49</f>
        <v>#REF!</v>
      </c>
      <c r="AA49" s="212" t="e">
        <f aca="false">AA9*$A$49</f>
        <v>#REF!</v>
      </c>
      <c r="AB49" s="212" t="e">
        <f aca="false">AB9*$A$49</f>
        <v>#REF!</v>
      </c>
      <c r="AC49" s="212" t="e">
        <f aca="false">AC9*$A$49</f>
        <v>#REF!</v>
      </c>
      <c r="AD49" s="212" t="e">
        <f aca="false">AD9*$A$49</f>
        <v>#REF!</v>
      </c>
      <c r="AE49" s="212" t="e">
        <f aca="false">AE9*$A$49</f>
        <v>#REF!</v>
      </c>
      <c r="AF49" s="76" t="e">
        <f aca="false">AF9*$A$49</f>
        <v>#REF!</v>
      </c>
      <c r="AG49" s="213" t="e">
        <f aca="false">SUM(D49:AF49)</f>
        <v>#REF!</v>
      </c>
      <c r="AI49" s="1" t="n">
        <f aca="false">AI48+1</f>
        <v>45</v>
      </c>
    </row>
    <row r="50" customFormat="false" ht="12.75" hidden="false" customHeight="false" outlineLevel="0" collapsed="false">
      <c r="A50" s="297" t="e">
        <f aca="false">#REF!</f>
        <v>#REF!</v>
      </c>
      <c r="B50" s="30" t="s">
        <v>265</v>
      </c>
      <c r="C50" s="30"/>
      <c r="D50" s="212" t="e">
        <f aca="false">D10*$A$50</f>
        <v>#REF!</v>
      </c>
      <c r="E50" s="212" t="e">
        <f aca="false">E10*$A$50</f>
        <v>#REF!</v>
      </c>
      <c r="F50" s="212" t="e">
        <f aca="false">F10*$A$50</f>
        <v>#REF!</v>
      </c>
      <c r="G50" s="212" t="e">
        <f aca="false">G10*$A$50</f>
        <v>#REF!</v>
      </c>
      <c r="H50" s="212" t="e">
        <f aca="false">H10*$A$50</f>
        <v>#REF!</v>
      </c>
      <c r="I50" s="212" t="e">
        <f aca="false">I10*$A$50</f>
        <v>#REF!</v>
      </c>
      <c r="J50" s="212" t="e">
        <f aca="false">J10*$A$50</f>
        <v>#REF!</v>
      </c>
      <c r="K50" s="212" t="e">
        <f aca="false">K10*$A$50</f>
        <v>#REF!</v>
      </c>
      <c r="L50" s="212" t="e">
        <f aca="false">L10*$A$50</f>
        <v>#REF!</v>
      </c>
      <c r="M50" s="212" t="e">
        <f aca="false">M10*$A$50</f>
        <v>#REF!</v>
      </c>
      <c r="N50" s="212" t="e">
        <f aca="false">N10*$A$50</f>
        <v>#REF!</v>
      </c>
      <c r="O50" s="212" t="e">
        <f aca="false">O10*$A$50</f>
        <v>#REF!</v>
      </c>
      <c r="P50" s="212" t="e">
        <f aca="false">P10*$A$50</f>
        <v>#REF!</v>
      </c>
      <c r="Q50" s="212" t="e">
        <f aca="false">Q10*$A$50</f>
        <v>#REF!</v>
      </c>
      <c r="R50" s="212" t="e">
        <f aca="false">R10*$A$50</f>
        <v>#REF!</v>
      </c>
      <c r="S50" s="212" t="e">
        <f aca="false">S10*$A$50</f>
        <v>#REF!</v>
      </c>
      <c r="T50" s="212" t="e">
        <f aca="false">T10*$A$50</f>
        <v>#REF!</v>
      </c>
      <c r="U50" s="212" t="e">
        <f aca="false">U10*$A$50</f>
        <v>#REF!</v>
      </c>
      <c r="V50" s="212" t="e">
        <f aca="false">V10*$A$50</f>
        <v>#REF!</v>
      </c>
      <c r="W50" s="212" t="e">
        <f aca="false">W10*$A$50</f>
        <v>#REF!</v>
      </c>
      <c r="X50" s="212" t="e">
        <f aca="false">X10*$A$50</f>
        <v>#REF!</v>
      </c>
      <c r="Y50" s="212" t="e">
        <f aca="false">Y10*$A$50</f>
        <v>#REF!</v>
      </c>
      <c r="Z50" s="212" t="e">
        <f aca="false">Z10*$A$50</f>
        <v>#REF!</v>
      </c>
      <c r="AA50" s="212" t="e">
        <f aca="false">AA10*$A$50</f>
        <v>#REF!</v>
      </c>
      <c r="AB50" s="212" t="e">
        <f aca="false">AB10*$A$50</f>
        <v>#REF!</v>
      </c>
      <c r="AC50" s="212" t="e">
        <f aca="false">AC10*$A$50</f>
        <v>#REF!</v>
      </c>
      <c r="AD50" s="212" t="e">
        <f aca="false">AD10*$A$50</f>
        <v>#REF!</v>
      </c>
      <c r="AE50" s="212" t="e">
        <f aca="false">AE10*$A$50</f>
        <v>#REF!</v>
      </c>
      <c r="AF50" s="76" t="e">
        <f aca="false">AF10*$A$50</f>
        <v>#REF!</v>
      </c>
      <c r="AG50" s="213" t="e">
        <f aca="false">SUM(D50:AF50)</f>
        <v>#REF!</v>
      </c>
      <c r="AI50" s="1" t="n">
        <f aca="false">AI49+1</f>
        <v>46</v>
      </c>
    </row>
    <row r="51" customFormat="false" ht="12.75" hidden="false" customHeight="false" outlineLevel="0" collapsed="false">
      <c r="A51" s="305"/>
      <c r="B51" s="30" t="s">
        <v>273</v>
      </c>
      <c r="C51" s="30"/>
      <c r="D51" s="215" t="e">
        <f aca="false">-D50*WHTAX</f>
        <v>#REF!</v>
      </c>
      <c r="E51" s="215" t="e">
        <f aca="false">-E50*WHTAX</f>
        <v>#REF!</v>
      </c>
      <c r="F51" s="215" t="e">
        <f aca="false">-F50*WHTAX</f>
        <v>#REF!</v>
      </c>
      <c r="G51" s="215" t="e">
        <f aca="false">-G50*WHTAX</f>
        <v>#REF!</v>
      </c>
      <c r="H51" s="215" t="e">
        <f aca="false">-H50*WHTAX</f>
        <v>#REF!</v>
      </c>
      <c r="I51" s="215" t="e">
        <f aca="false">-I50*WHTAX</f>
        <v>#REF!</v>
      </c>
      <c r="J51" s="215" t="e">
        <f aca="false">-J50*WHTAX</f>
        <v>#REF!</v>
      </c>
      <c r="K51" s="215" t="e">
        <f aca="false">-K50*WHTAX</f>
        <v>#REF!</v>
      </c>
      <c r="L51" s="215" t="e">
        <f aca="false">-L50*WHTAX</f>
        <v>#REF!</v>
      </c>
      <c r="M51" s="215" t="e">
        <f aca="false">-M50*WHTAX</f>
        <v>#REF!</v>
      </c>
      <c r="N51" s="215" t="e">
        <f aca="false">-N50*WHTAX</f>
        <v>#REF!</v>
      </c>
      <c r="O51" s="215" t="e">
        <f aca="false">-O50*WHTAX</f>
        <v>#REF!</v>
      </c>
      <c r="P51" s="215" t="e">
        <f aca="false">-P50*WHTAX</f>
        <v>#REF!</v>
      </c>
      <c r="Q51" s="215" t="e">
        <f aca="false">-Q50*WHTAX</f>
        <v>#REF!</v>
      </c>
      <c r="R51" s="215" t="e">
        <f aca="false">-R50*WHTAX</f>
        <v>#REF!</v>
      </c>
      <c r="S51" s="215" t="e">
        <f aca="false">-S50*WHTAX</f>
        <v>#REF!</v>
      </c>
      <c r="T51" s="215" t="e">
        <f aca="false">-T50*WHTAX</f>
        <v>#REF!</v>
      </c>
      <c r="U51" s="215" t="e">
        <f aca="false">-U50*WHTAX</f>
        <v>#REF!</v>
      </c>
      <c r="V51" s="215" t="e">
        <f aca="false">-V50*WHTAX</f>
        <v>#REF!</v>
      </c>
      <c r="W51" s="215" t="e">
        <f aca="false">-W50*WHTAX</f>
        <v>#REF!</v>
      </c>
      <c r="X51" s="215" t="e">
        <f aca="false">-X50*WHTAX</f>
        <v>#REF!</v>
      </c>
      <c r="Y51" s="215" t="e">
        <f aca="false">-Y50*WHTAX</f>
        <v>#REF!</v>
      </c>
      <c r="Z51" s="215" t="e">
        <f aca="false">-Z50*WHTAX</f>
        <v>#REF!</v>
      </c>
      <c r="AA51" s="215" t="e">
        <f aca="false">-AA50*WHTAX</f>
        <v>#REF!</v>
      </c>
      <c r="AB51" s="215" t="e">
        <f aca="false">-AB50*WHTAX</f>
        <v>#REF!</v>
      </c>
      <c r="AC51" s="215" t="e">
        <f aca="false">-AC50*WHTAX</f>
        <v>#REF!</v>
      </c>
      <c r="AD51" s="215" t="e">
        <f aca="false">-AD50*WHTAX</f>
        <v>#REF!</v>
      </c>
      <c r="AE51" s="215" t="e">
        <f aca="false">-AE50*WHTAX</f>
        <v>#REF!</v>
      </c>
      <c r="AF51" s="306" t="e">
        <f aca="false">-AF50*WHTAX</f>
        <v>#REF!</v>
      </c>
      <c r="AG51" s="216" t="e">
        <f aca="false">SUM(D51:AF51)</f>
        <v>#REF!</v>
      </c>
      <c r="AH51" s="282"/>
      <c r="AI51" s="1" t="n">
        <f aca="false">AI50+1</f>
        <v>47</v>
      </c>
      <c r="AJ51" s="282"/>
      <c r="AK51" s="282"/>
      <c r="AL51" s="298" t="e">
        <f aca="false">D51+NPV(DISC,F51:AF51)</f>
        <v>#REF!</v>
      </c>
      <c r="AM51" s="282"/>
      <c r="AN51" s="282"/>
      <c r="AO51" s="282"/>
      <c r="AP51" s="282"/>
      <c r="AQ51" s="282"/>
      <c r="AR51" s="282"/>
      <c r="AS51" s="282"/>
      <c r="AT51" s="282"/>
      <c r="AU51" s="282"/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  <c r="BF51" s="282"/>
      <c r="BG51" s="282"/>
      <c r="BH51" s="282"/>
      <c r="BI51" s="282"/>
      <c r="BJ51" s="282"/>
      <c r="BK51" s="282"/>
      <c r="BL51" s="282"/>
      <c r="BM51" s="282"/>
      <c r="BN51" s="282"/>
      <c r="BO51" s="282"/>
      <c r="BP51" s="282"/>
      <c r="BQ51" s="282"/>
      <c r="BR51" s="282"/>
      <c r="BS51" s="282"/>
      <c r="BT51" s="282"/>
      <c r="BU51" s="282"/>
      <c r="BV51" s="282"/>
      <c r="BW51" s="282"/>
      <c r="BX51" s="282"/>
      <c r="BY51" s="282"/>
      <c r="BZ51" s="282"/>
      <c r="CA51" s="282"/>
      <c r="CB51" s="282"/>
      <c r="CC51" s="282"/>
      <c r="CD51" s="282"/>
      <c r="CE51" s="282"/>
      <c r="CF51" s="282"/>
      <c r="CG51" s="282"/>
      <c r="CH51" s="282"/>
      <c r="CI51" s="282"/>
      <c r="CJ51" s="282"/>
      <c r="CK51" s="282"/>
      <c r="CL51" s="282"/>
      <c r="CM51" s="282"/>
      <c r="CN51" s="282"/>
      <c r="CO51" s="282"/>
      <c r="CP51" s="282"/>
      <c r="CQ51" s="282"/>
      <c r="CR51" s="282"/>
      <c r="CS51" s="282"/>
      <c r="CT51" s="282"/>
      <c r="CU51" s="282"/>
      <c r="CV51" s="282"/>
      <c r="CW51" s="282"/>
      <c r="CX51" s="282"/>
      <c r="CY51" s="282"/>
      <c r="CZ51" s="282"/>
      <c r="DA51" s="282"/>
      <c r="DB51" s="282"/>
      <c r="DC51" s="282"/>
      <c r="DD51" s="282"/>
      <c r="DE51" s="282"/>
      <c r="DF51" s="282"/>
      <c r="DG51" s="282"/>
      <c r="DH51" s="282"/>
      <c r="DI51" s="282"/>
      <c r="DJ51" s="282"/>
      <c r="DK51" s="282"/>
      <c r="DL51" s="282"/>
      <c r="DM51" s="282"/>
      <c r="DN51" s="282"/>
      <c r="DO51" s="282"/>
      <c r="DP51" s="282"/>
      <c r="DQ51" s="282"/>
      <c r="DR51" s="282"/>
      <c r="DS51" s="282"/>
      <c r="DT51" s="282"/>
      <c r="DU51" s="282"/>
      <c r="DV51" s="282"/>
      <c r="DW51" s="282"/>
      <c r="DX51" s="282"/>
      <c r="DY51" s="282"/>
      <c r="DZ51" s="282"/>
      <c r="EA51" s="282"/>
      <c r="EB51" s="282"/>
      <c r="EC51" s="282"/>
      <c r="ED51" s="282"/>
      <c r="EE51" s="282"/>
      <c r="EF51" s="282"/>
      <c r="EG51" s="282"/>
      <c r="EH51" s="282"/>
      <c r="EI51" s="282"/>
      <c r="EJ51" s="282"/>
      <c r="EK51" s="282"/>
      <c r="EL51" s="282"/>
      <c r="EM51" s="282"/>
      <c r="EN51" s="282"/>
      <c r="EO51" s="282"/>
      <c r="EP51" s="282"/>
      <c r="EQ51" s="282"/>
      <c r="ER51" s="282"/>
      <c r="ES51" s="282"/>
      <c r="ET51" s="282"/>
      <c r="EU51" s="282"/>
      <c r="EV51" s="282"/>
      <c r="EW51" s="282"/>
      <c r="EX51" s="282"/>
      <c r="EY51" s="282"/>
      <c r="EZ51" s="282"/>
      <c r="FA51" s="282"/>
      <c r="FB51" s="282"/>
      <c r="FC51" s="282"/>
      <c r="FD51" s="282"/>
      <c r="FE51" s="282"/>
      <c r="FF51" s="282"/>
      <c r="FG51" s="282"/>
      <c r="FH51" s="282"/>
      <c r="FI51" s="282"/>
      <c r="FJ51" s="282"/>
      <c r="FK51" s="282"/>
      <c r="FL51" s="282"/>
      <c r="FM51" s="282"/>
      <c r="FN51" s="282"/>
      <c r="FO51" s="282"/>
      <c r="FP51" s="282"/>
      <c r="FQ51" s="282"/>
      <c r="FR51" s="282"/>
      <c r="FS51" s="282"/>
      <c r="FT51" s="282"/>
      <c r="FU51" s="282"/>
      <c r="FV51" s="282"/>
      <c r="FW51" s="282"/>
      <c r="FX51" s="282"/>
      <c r="FY51" s="282"/>
      <c r="FZ51" s="282"/>
      <c r="GA51" s="282"/>
      <c r="GB51" s="282"/>
      <c r="GC51" s="282"/>
      <c r="GD51" s="282"/>
      <c r="GE51" s="282"/>
      <c r="GF51" s="282"/>
      <c r="GG51" s="282"/>
      <c r="GH51" s="282"/>
      <c r="GI51" s="282"/>
      <c r="GJ51" s="282"/>
      <c r="GK51" s="282"/>
      <c r="GL51" s="282"/>
      <c r="GM51" s="282"/>
      <c r="GN51" s="282"/>
      <c r="GO51" s="282"/>
      <c r="GP51" s="282"/>
      <c r="GQ51" s="282"/>
      <c r="GR51" s="282"/>
      <c r="GS51" s="282"/>
      <c r="GT51" s="282"/>
      <c r="GU51" s="282"/>
      <c r="GV51" s="282"/>
      <c r="GW51" s="282"/>
      <c r="GX51" s="282"/>
      <c r="GY51" s="282"/>
      <c r="GZ51" s="282"/>
      <c r="HA51" s="282"/>
      <c r="HB51" s="282"/>
      <c r="HC51" s="282"/>
      <c r="HD51" s="282"/>
      <c r="HE51" s="282"/>
      <c r="HF51" s="282"/>
      <c r="HG51" s="282"/>
      <c r="HH51" s="282"/>
      <c r="HI51" s="282"/>
      <c r="HJ51" s="282"/>
      <c r="HK51" s="282"/>
      <c r="HL51" s="282"/>
      <c r="HM51" s="282"/>
      <c r="HN51" s="282"/>
      <c r="HO51" s="282"/>
      <c r="HP51" s="282"/>
      <c r="HQ51" s="282"/>
      <c r="HR51" s="282"/>
      <c r="HS51" s="282"/>
      <c r="HT51" s="282"/>
      <c r="HU51" s="282"/>
      <c r="HV51" s="282"/>
      <c r="HW51" s="282"/>
      <c r="HX51" s="282"/>
      <c r="HY51" s="282"/>
      <c r="HZ51" s="282"/>
      <c r="IA51" s="282"/>
      <c r="IB51" s="282"/>
      <c r="IC51" s="282"/>
      <c r="ID51" s="282"/>
      <c r="IE51" s="282"/>
      <c r="IF51" s="282"/>
      <c r="IG51" s="282"/>
      <c r="IH51" s="282"/>
      <c r="II51" s="282"/>
      <c r="IJ51" s="282"/>
      <c r="IK51" s="282"/>
      <c r="IL51" s="282"/>
      <c r="IM51" s="282"/>
      <c r="IN51" s="282"/>
      <c r="IO51" s="282"/>
      <c r="IP51" s="282"/>
      <c r="IQ51" s="282"/>
      <c r="IR51" s="282"/>
      <c r="IS51" s="282"/>
      <c r="IT51" s="282"/>
      <c r="IU51" s="282"/>
      <c r="IV51" s="282"/>
      <c r="IW51" s="282"/>
    </row>
    <row r="52" customFormat="false" ht="12.75" hidden="false" customHeight="false" outlineLevel="0" collapsed="false">
      <c r="A52" s="307"/>
      <c r="B52" s="30" t="s">
        <v>266</v>
      </c>
      <c r="C52" s="30"/>
      <c r="D52" s="279" t="e">
        <f aca="false">SUM(D49:D51)</f>
        <v>#REF!</v>
      </c>
      <c r="E52" s="279" t="e">
        <f aca="false">SUM(E49:E51)</f>
        <v>#REF!</v>
      </c>
      <c r="F52" s="279" t="e">
        <f aca="false">SUM(F49:F51)</f>
        <v>#REF!</v>
      </c>
      <c r="G52" s="279" t="e">
        <f aca="false">SUM(G49:G51)</f>
        <v>#REF!</v>
      </c>
      <c r="H52" s="279" t="e">
        <f aca="false">SUM(H49:H51)</f>
        <v>#REF!</v>
      </c>
      <c r="I52" s="279" t="e">
        <f aca="false">SUM(I49:I51)</f>
        <v>#REF!</v>
      </c>
      <c r="J52" s="279" t="e">
        <f aca="false">SUM(J49:J51)</f>
        <v>#REF!</v>
      </c>
      <c r="K52" s="279" t="e">
        <f aca="false">SUM(K49:K51)</f>
        <v>#REF!</v>
      </c>
      <c r="L52" s="279" t="e">
        <f aca="false">SUM(L49:L51)</f>
        <v>#REF!</v>
      </c>
      <c r="M52" s="279" t="e">
        <f aca="false">SUM(M49:M51)</f>
        <v>#REF!</v>
      </c>
      <c r="N52" s="279" t="e">
        <f aca="false">SUM(N49:N51)</f>
        <v>#REF!</v>
      </c>
      <c r="O52" s="279" t="e">
        <f aca="false">SUM(O49:O51)</f>
        <v>#REF!</v>
      </c>
      <c r="P52" s="279" t="e">
        <f aca="false">SUM(P49:P51)</f>
        <v>#REF!</v>
      </c>
      <c r="Q52" s="279" t="e">
        <f aca="false">SUM(Q49:Q51)</f>
        <v>#REF!</v>
      </c>
      <c r="R52" s="279" t="e">
        <f aca="false">SUM(R49:R51)</f>
        <v>#REF!</v>
      </c>
      <c r="S52" s="279" t="e">
        <f aca="false">SUM(S49:S51)</f>
        <v>#REF!</v>
      </c>
      <c r="T52" s="279" t="e">
        <f aca="false">SUM(T49:T51)</f>
        <v>#REF!</v>
      </c>
      <c r="U52" s="279" t="e">
        <f aca="false">SUM(U49:U51)</f>
        <v>#REF!</v>
      </c>
      <c r="V52" s="279" t="e">
        <f aca="false">SUM(V49:V51)</f>
        <v>#REF!</v>
      </c>
      <c r="W52" s="279" t="e">
        <f aca="false">SUM(W49:W51)</f>
        <v>#REF!</v>
      </c>
      <c r="X52" s="279" t="e">
        <f aca="false">SUM(X49:X51)</f>
        <v>#REF!</v>
      </c>
      <c r="Y52" s="279" t="e">
        <f aca="false">SUM(Y49:Y51)</f>
        <v>#REF!</v>
      </c>
      <c r="Z52" s="279" t="e">
        <f aca="false">SUM(Z49:Z51)</f>
        <v>#REF!</v>
      </c>
      <c r="AA52" s="279" t="e">
        <f aca="false">SUM(AA49:AA51)</f>
        <v>#REF!</v>
      </c>
      <c r="AB52" s="279" t="e">
        <f aca="false">SUM(AB49:AB51)</f>
        <v>#REF!</v>
      </c>
      <c r="AC52" s="279" t="e">
        <f aca="false">SUM(AC49:AC51)</f>
        <v>#REF!</v>
      </c>
      <c r="AD52" s="279" t="e">
        <f aca="false">SUM(AD49:AD51)</f>
        <v>#REF!</v>
      </c>
      <c r="AE52" s="279" t="e">
        <f aca="false">SUM(AE49:AE51)</f>
        <v>#REF!</v>
      </c>
      <c r="AF52" s="280" t="e">
        <f aca="false">SUM(AF49:AF51)</f>
        <v>#REF!</v>
      </c>
      <c r="AG52" s="281" t="e">
        <f aca="false">SUM(D52:AF52)</f>
        <v>#REF!</v>
      </c>
      <c r="AH52" s="300"/>
      <c r="AI52" s="1" t="n">
        <f aca="false">AI51+1</f>
        <v>48</v>
      </c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0"/>
      <c r="AY52" s="300"/>
      <c r="AZ52" s="300"/>
      <c r="BA52" s="300"/>
      <c r="BB52" s="300"/>
      <c r="BC52" s="300"/>
      <c r="BD52" s="300"/>
      <c r="BE52" s="300"/>
      <c r="BF52" s="300"/>
      <c r="BG52" s="300"/>
      <c r="BH52" s="300"/>
      <c r="BI52" s="300"/>
      <c r="BJ52" s="300"/>
      <c r="BK52" s="300"/>
      <c r="BL52" s="300"/>
      <c r="BM52" s="300"/>
      <c r="BN52" s="300"/>
      <c r="BO52" s="300"/>
      <c r="BP52" s="300"/>
      <c r="BQ52" s="300"/>
      <c r="BR52" s="300"/>
      <c r="BS52" s="300"/>
      <c r="BT52" s="300"/>
      <c r="BU52" s="300"/>
      <c r="BV52" s="300"/>
      <c r="BW52" s="300"/>
      <c r="BX52" s="300"/>
      <c r="BY52" s="300"/>
      <c r="BZ52" s="300"/>
      <c r="CA52" s="300"/>
      <c r="CB52" s="300"/>
      <c r="CC52" s="300"/>
      <c r="CD52" s="300"/>
      <c r="CE52" s="300"/>
      <c r="CF52" s="300"/>
      <c r="CG52" s="300"/>
      <c r="CH52" s="300"/>
      <c r="CI52" s="300"/>
      <c r="CJ52" s="300"/>
      <c r="CK52" s="300"/>
      <c r="CL52" s="300"/>
      <c r="CM52" s="300"/>
      <c r="CN52" s="300"/>
      <c r="CO52" s="300"/>
      <c r="CP52" s="300"/>
      <c r="CQ52" s="300"/>
      <c r="CR52" s="300"/>
      <c r="CS52" s="300"/>
      <c r="CT52" s="300"/>
      <c r="CU52" s="300"/>
      <c r="CV52" s="300"/>
      <c r="CW52" s="300"/>
      <c r="CX52" s="300"/>
      <c r="CY52" s="300"/>
      <c r="CZ52" s="300"/>
      <c r="DA52" s="300"/>
      <c r="DB52" s="300"/>
      <c r="DC52" s="300"/>
      <c r="DD52" s="300"/>
      <c r="DE52" s="300"/>
      <c r="DF52" s="300"/>
      <c r="DG52" s="300"/>
      <c r="DH52" s="300"/>
      <c r="DI52" s="300"/>
      <c r="DJ52" s="300"/>
      <c r="DK52" s="300"/>
      <c r="DL52" s="300"/>
      <c r="DM52" s="300"/>
      <c r="DN52" s="300"/>
      <c r="DO52" s="300"/>
      <c r="DP52" s="300"/>
      <c r="DQ52" s="300"/>
      <c r="DR52" s="300"/>
      <c r="DS52" s="300"/>
      <c r="DT52" s="300"/>
      <c r="DU52" s="300"/>
      <c r="DV52" s="300"/>
      <c r="DW52" s="300"/>
      <c r="DX52" s="300"/>
      <c r="DY52" s="300"/>
      <c r="DZ52" s="300"/>
      <c r="EA52" s="300"/>
      <c r="EB52" s="300"/>
      <c r="EC52" s="300"/>
      <c r="ED52" s="300"/>
      <c r="EE52" s="300"/>
      <c r="EF52" s="300"/>
      <c r="EG52" s="300"/>
      <c r="EH52" s="300"/>
      <c r="EI52" s="300"/>
      <c r="EJ52" s="300"/>
      <c r="EK52" s="300"/>
      <c r="EL52" s="300"/>
      <c r="EM52" s="300"/>
      <c r="EN52" s="300"/>
      <c r="EO52" s="300"/>
      <c r="EP52" s="300"/>
      <c r="EQ52" s="300"/>
      <c r="ER52" s="300"/>
      <c r="ES52" s="300"/>
      <c r="ET52" s="300"/>
      <c r="EU52" s="300"/>
      <c r="EV52" s="300"/>
      <c r="EW52" s="300"/>
      <c r="EX52" s="300"/>
      <c r="EY52" s="300"/>
      <c r="EZ52" s="300"/>
      <c r="FA52" s="300"/>
      <c r="FB52" s="300"/>
      <c r="FC52" s="300"/>
      <c r="FD52" s="300"/>
      <c r="FE52" s="300"/>
      <c r="FF52" s="300"/>
      <c r="FG52" s="300"/>
      <c r="FH52" s="300"/>
      <c r="FI52" s="300"/>
      <c r="FJ52" s="300"/>
      <c r="FK52" s="300"/>
      <c r="FL52" s="300"/>
      <c r="FM52" s="300"/>
      <c r="FN52" s="300"/>
      <c r="FO52" s="300"/>
      <c r="FP52" s="300"/>
      <c r="FQ52" s="300"/>
      <c r="FR52" s="300"/>
      <c r="FS52" s="300"/>
      <c r="FT52" s="300"/>
      <c r="FU52" s="300"/>
      <c r="FV52" s="300"/>
      <c r="FW52" s="300"/>
      <c r="FX52" s="300"/>
      <c r="FY52" s="300"/>
      <c r="FZ52" s="300"/>
      <c r="GA52" s="300"/>
      <c r="GB52" s="300"/>
      <c r="GC52" s="300"/>
      <c r="GD52" s="300"/>
      <c r="GE52" s="300"/>
      <c r="GF52" s="300"/>
      <c r="GG52" s="300"/>
      <c r="GH52" s="300"/>
      <c r="GI52" s="300"/>
      <c r="GJ52" s="300"/>
      <c r="GK52" s="300"/>
      <c r="GL52" s="300"/>
      <c r="GM52" s="300"/>
      <c r="GN52" s="300"/>
      <c r="GO52" s="300"/>
      <c r="GP52" s="300"/>
      <c r="GQ52" s="300"/>
      <c r="GR52" s="300"/>
      <c r="GS52" s="300"/>
      <c r="GT52" s="300"/>
      <c r="GU52" s="300"/>
      <c r="GV52" s="300"/>
      <c r="GW52" s="300"/>
      <c r="GX52" s="300"/>
      <c r="GY52" s="300"/>
      <c r="GZ52" s="300"/>
      <c r="HA52" s="300"/>
      <c r="HB52" s="300"/>
      <c r="HC52" s="300"/>
      <c r="HD52" s="300"/>
      <c r="HE52" s="300"/>
      <c r="HF52" s="300"/>
      <c r="HG52" s="300"/>
      <c r="HH52" s="300"/>
      <c r="HI52" s="300"/>
      <c r="HJ52" s="300"/>
      <c r="HK52" s="300"/>
      <c r="HL52" s="300"/>
      <c r="HM52" s="300"/>
      <c r="HN52" s="300"/>
      <c r="HO52" s="300"/>
      <c r="HP52" s="300"/>
      <c r="HQ52" s="300"/>
      <c r="HR52" s="300"/>
      <c r="HS52" s="300"/>
      <c r="HT52" s="300"/>
      <c r="HU52" s="300"/>
      <c r="HV52" s="300"/>
      <c r="HW52" s="300"/>
      <c r="HX52" s="300"/>
      <c r="HY52" s="300"/>
      <c r="HZ52" s="300"/>
      <c r="IA52" s="300"/>
      <c r="IB52" s="300"/>
      <c r="IC52" s="300"/>
      <c r="ID52" s="300"/>
      <c r="IE52" s="300"/>
      <c r="IF52" s="300"/>
      <c r="IG52" s="300"/>
      <c r="IH52" s="300"/>
      <c r="II52" s="300"/>
      <c r="IJ52" s="300"/>
      <c r="IK52" s="300"/>
      <c r="IL52" s="300"/>
      <c r="IM52" s="300"/>
      <c r="IN52" s="300"/>
      <c r="IO52" s="300"/>
      <c r="IP52" s="300"/>
      <c r="IQ52" s="300"/>
      <c r="IR52" s="300"/>
      <c r="IS52" s="300"/>
      <c r="IT52" s="300"/>
      <c r="IU52" s="300"/>
      <c r="IV52" s="300"/>
      <c r="IW52" s="300"/>
    </row>
    <row r="53" customFormat="false" ht="12.75" hidden="false" customHeight="false" outlineLevel="0" collapsed="false">
      <c r="A53" s="308"/>
      <c r="B53" s="30" t="s">
        <v>267</v>
      </c>
      <c r="C53" s="30"/>
      <c r="D53" s="212" t="e">
        <f aca="false">D52</f>
        <v>#REF!</v>
      </c>
      <c r="E53" s="212" t="e">
        <f aca="false">$D$52+NPV(DISC,E$52:$E52)</f>
        <v>#REF!</v>
      </c>
      <c r="F53" s="212" t="e">
        <f aca="false">$D$52+NPV(DISC,$E$52:F52)</f>
        <v>#REF!</v>
      </c>
      <c r="G53" s="212" t="e">
        <f aca="false">$D$52+NPV(DISC,$E$52:G52)</f>
        <v>#REF!</v>
      </c>
      <c r="H53" s="212" t="e">
        <f aca="false">$D$52+NPV(DISC,$E$52:H52)</f>
        <v>#REF!</v>
      </c>
      <c r="I53" s="212" t="e">
        <f aca="false">$D$52+NPV(DISC,$E$52:I52)</f>
        <v>#REF!</v>
      </c>
      <c r="J53" s="212" t="e">
        <f aca="false">$D$52+NPV(DISC,$E$52:J52)</f>
        <v>#REF!</v>
      </c>
      <c r="K53" s="212" t="e">
        <f aca="false">$D$52+NPV(DISC,$E$52:K52)</f>
        <v>#REF!</v>
      </c>
      <c r="L53" s="212" t="e">
        <f aca="false">$D$52+NPV(DISC,$E$52:L52)</f>
        <v>#REF!</v>
      </c>
      <c r="M53" s="212" t="e">
        <f aca="false">$D$52+NPV(DISC,$E$52:M52)</f>
        <v>#REF!</v>
      </c>
      <c r="N53" s="212" t="e">
        <f aca="false">$D$52+NPV(DISC,$E$52:N52)</f>
        <v>#REF!</v>
      </c>
      <c r="O53" s="212" t="e">
        <f aca="false">$D$52+NPV(DISC,$E$52:O52)</f>
        <v>#REF!</v>
      </c>
      <c r="P53" s="212" t="e">
        <f aca="false">$D$52+NPV(DISC,$E$52:P52)</f>
        <v>#REF!</v>
      </c>
      <c r="Q53" s="212" t="e">
        <f aca="false">$D$52+NPV(DISC,$E$52:Q52)</f>
        <v>#REF!</v>
      </c>
      <c r="R53" s="212" t="e">
        <f aca="false">$D$52+NPV(DISC,$E$52:R52)</f>
        <v>#REF!</v>
      </c>
      <c r="S53" s="212" t="e">
        <f aca="false">$D$52+NPV(DISC,$E$52:S52)</f>
        <v>#REF!</v>
      </c>
      <c r="T53" s="212" t="e">
        <f aca="false">$D$52+NPV(DISC,$E$52:T52)</f>
        <v>#REF!</v>
      </c>
      <c r="U53" s="212" t="e">
        <f aca="false">$D$52+NPV(DISC,$E$52:U52)</f>
        <v>#REF!</v>
      </c>
      <c r="V53" s="212" t="e">
        <f aca="false">$D$52+NPV(DISC,$E$52:V52)</f>
        <v>#REF!</v>
      </c>
      <c r="W53" s="212" t="e">
        <f aca="false">$D$52+NPV(DISC,$E$52:W52)</f>
        <v>#REF!</v>
      </c>
      <c r="X53" s="212" t="e">
        <f aca="false">$D$52+NPV(DISC,$E$52:X52)</f>
        <v>#REF!</v>
      </c>
      <c r="Y53" s="212" t="e">
        <f aca="false">$D$52+NPV(DISC,$E$52:Y52)</f>
        <v>#REF!</v>
      </c>
      <c r="Z53" s="212" t="e">
        <f aca="false">$D$52+NPV(DISC,$E$52:Z52)</f>
        <v>#REF!</v>
      </c>
      <c r="AA53" s="212" t="e">
        <f aca="false">$D$52+NPV(DISC,$E$52:AA52)</f>
        <v>#REF!</v>
      </c>
      <c r="AB53" s="212" t="e">
        <f aca="false">$D$52+NPV(DISC,$E$52:AB52)</f>
        <v>#REF!</v>
      </c>
      <c r="AC53" s="212" t="e">
        <f aca="false">$D$52+NPV(DISC,$E$52:AC52)</f>
        <v>#REF!</v>
      </c>
      <c r="AD53" s="212" t="e">
        <f aca="false">$D$52+NPV(DISC,$E$52:AD52)</f>
        <v>#REF!</v>
      </c>
      <c r="AE53" s="212" t="e">
        <f aca="false">$D$52+NPV(DISC,$E$52:AE52)</f>
        <v>#REF!</v>
      </c>
      <c r="AF53" s="76" t="e">
        <f aca="false">$D$52+NPV(DISC,$E$52:AF52)</f>
        <v>#REF!</v>
      </c>
      <c r="AG53" s="213"/>
      <c r="AI53" s="1" t="n">
        <f aca="false">AI52+1</f>
        <v>49</v>
      </c>
    </row>
    <row r="54" customFormat="false" ht="12.75" hidden="false" customHeight="false" outlineLevel="0" collapsed="false">
      <c r="A54" s="308"/>
      <c r="B54" s="30" t="s">
        <v>268</v>
      </c>
      <c r="C54" s="30"/>
      <c r="D54" s="72" t="e">
        <f aca="false">IRR($D$52:D52)</f>
        <v>#REF!</v>
      </c>
      <c r="E54" s="72" t="e">
        <f aca="false">IRR($D$52:E52)</f>
        <v>#REF!</v>
      </c>
      <c r="F54" s="72" t="e">
        <f aca="false">IRR($D$52:F52)</f>
        <v>#REF!</v>
      </c>
      <c r="G54" s="72" t="e">
        <f aca="false">IRR($D$52:G52)</f>
        <v>#REF!</v>
      </c>
      <c r="H54" s="72" t="e">
        <f aca="false">IRR($D$52:H52)</f>
        <v>#REF!</v>
      </c>
      <c r="I54" s="72" t="e">
        <f aca="false">IRR($D$52:I52)</f>
        <v>#REF!</v>
      </c>
      <c r="J54" s="72" t="e">
        <f aca="false">IRR($D$52:J52)</f>
        <v>#REF!</v>
      </c>
      <c r="K54" s="72" t="e">
        <f aca="false">IRR($D$52:K52)</f>
        <v>#REF!</v>
      </c>
      <c r="L54" s="72" t="e">
        <f aca="false">IRR($D$52:L52)</f>
        <v>#REF!</v>
      </c>
      <c r="M54" s="72" t="e">
        <f aca="false">IRR($D$52:M52)</f>
        <v>#REF!</v>
      </c>
      <c r="N54" s="72" t="e">
        <f aca="false">IRR($D$52:N52)</f>
        <v>#REF!</v>
      </c>
      <c r="O54" s="72" t="e">
        <f aca="false">IRR($D$52:O52)</f>
        <v>#REF!</v>
      </c>
      <c r="P54" s="72" t="e">
        <f aca="false">IRR($D$52:P52)</f>
        <v>#REF!</v>
      </c>
      <c r="Q54" s="72" t="e">
        <f aca="false">IRR($D$52:Q52)</f>
        <v>#REF!</v>
      </c>
      <c r="R54" s="72" t="e">
        <f aca="false">IRR($D$52:R52)</f>
        <v>#REF!</v>
      </c>
      <c r="S54" s="72" t="e">
        <f aca="false">IRR($D$52:S52)</f>
        <v>#REF!</v>
      </c>
      <c r="T54" s="72" t="e">
        <f aca="false">IRR($D$52:T52)</f>
        <v>#REF!</v>
      </c>
      <c r="U54" s="72" t="e">
        <f aca="false">IRR($D$52:U52)</f>
        <v>#REF!</v>
      </c>
      <c r="V54" s="72" t="e">
        <f aca="false">IRR($D$52:V52)</f>
        <v>#REF!</v>
      </c>
      <c r="W54" s="72" t="e">
        <f aca="false">IRR($D$52:W52)</f>
        <v>#REF!</v>
      </c>
      <c r="X54" s="72" t="e">
        <f aca="false">IRR($D$52:X52)</f>
        <v>#REF!</v>
      </c>
      <c r="Y54" s="72" t="e">
        <f aca="false">IRR($D$52:Y52)</f>
        <v>#REF!</v>
      </c>
      <c r="Z54" s="72" t="e">
        <f aca="false">IRR($D$52:Z52)</f>
        <v>#REF!</v>
      </c>
      <c r="AA54" s="72" t="e">
        <f aca="false">IRR($D$52:AA52)</f>
        <v>#REF!</v>
      </c>
      <c r="AB54" s="72" t="e">
        <f aca="false">IRR($D$52:AB52)</f>
        <v>#REF!</v>
      </c>
      <c r="AC54" s="72" t="e">
        <f aca="false">IRR($D$52:AC52)</f>
        <v>#REF!</v>
      </c>
      <c r="AD54" s="72" t="e">
        <f aca="false">IRR($D$52:AD52)</f>
        <v>#REF!</v>
      </c>
      <c r="AE54" s="72" t="e">
        <f aca="false">IRR($D$52:AE52)</f>
        <v>#REF!</v>
      </c>
      <c r="AF54" s="151" t="e">
        <f aca="false">IRR($D$52:AF52)</f>
        <v>#REF!</v>
      </c>
      <c r="AG54" s="207"/>
      <c r="AI54" s="1" t="n">
        <f aca="false">AI53+1</f>
        <v>50</v>
      </c>
    </row>
    <row r="55" customFormat="false" ht="13.5" hidden="false" customHeight="false" outlineLevel="0" collapsed="false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4"/>
      <c r="AG55" s="207"/>
      <c r="AI55" s="1" t="n">
        <f aca="false">AI54+1</f>
        <v>51</v>
      </c>
    </row>
    <row r="56" customFormat="false" ht="12.75" hidden="false" customHeight="false" outlineLevel="0" collapsed="false">
      <c r="A56" s="29"/>
      <c r="B56" s="311" t="s">
        <v>284</v>
      </c>
      <c r="C56" s="285" t="n">
        <f aca="false">ASS!V14</f>
        <v>0.1</v>
      </c>
      <c r="D56" s="312" t="e">
        <f aca="false">AF53</f>
        <v>#REF!</v>
      </c>
      <c r="E56" s="313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4"/>
      <c r="AG56" s="207"/>
      <c r="AI56" s="1" t="n">
        <f aca="false">AI55+1</f>
        <v>52</v>
      </c>
    </row>
    <row r="57" customFormat="false" ht="13.5" hidden="false" customHeight="false" outlineLevel="0" collapsed="false">
      <c r="A57" s="57"/>
      <c r="B57" s="314" t="s">
        <v>285</v>
      </c>
      <c r="C57" s="315"/>
      <c r="D57" s="316" t="e">
        <f aca="false">AF54</f>
        <v>#REF!</v>
      </c>
      <c r="E57" s="317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68"/>
      <c r="AG57" s="202"/>
      <c r="AI57" s="1" t="n">
        <f aca="false">AI56+1</f>
        <v>53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G60" activeCellId="0" sqref="G6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21.7"/>
    <col collapsed="false" customWidth="false" hidden="false" outlineLevel="0" max="6" min="4" style="1" width="9.14"/>
    <col collapsed="false" customWidth="true" hidden="false" outlineLevel="0" max="7" min="7" style="1" width="9.99"/>
    <col collapsed="false" customWidth="false" hidden="false" outlineLevel="0" max="9" min="8" style="1" width="9.14"/>
    <col collapsed="false" customWidth="true" hidden="false" outlineLevel="0" max="10" min="10" style="1" width="8.7"/>
    <col collapsed="false" customWidth="true" hidden="false" outlineLevel="0" max="11" min="11" style="1" width="13.56"/>
    <col collapsed="false" customWidth="true" hidden="false" outlineLevel="0" max="12" min="12" style="1" width="8.99"/>
    <col collapsed="false" customWidth="true" hidden="false" outlineLevel="0" max="13" min="13" style="1" width="13.85"/>
    <col collapsed="false" customWidth="true" hidden="false" outlineLevel="0" max="14" min="14" style="1" width="10.28"/>
    <col collapsed="false" customWidth="true" hidden="false" outlineLevel="0" max="15" min="15" style="1" width="15.13"/>
    <col collapsed="false" customWidth="false" hidden="false" outlineLevel="0" max="257" min="16" style="1" width="9.14"/>
  </cols>
  <sheetData>
    <row r="1" customFormat="false" ht="15.75" hidden="false" customHeight="false" outlineLevel="0" collapsed="false">
      <c r="A1" s="2" t="s">
        <v>286</v>
      </c>
      <c r="B1" s="318"/>
      <c r="C1" s="268"/>
    </row>
    <row r="2" customFormat="false" ht="15.75" hidden="false" customHeight="false" outlineLevel="0" collapsed="false">
      <c r="A2" s="188" t="n">
        <f aca="false">ASS!A4</f>
        <v>0</v>
      </c>
      <c r="B2" s="70"/>
      <c r="C2" s="269"/>
    </row>
    <row r="3" customFormat="false" ht="15.75" hidden="false" customHeight="false" outlineLevel="0" collapsed="false">
      <c r="A3" s="189" t="str">
        <f aca="false">ASS!A5</f>
        <v>BASE MODEL</v>
      </c>
      <c r="B3" s="319"/>
      <c r="C3" s="270"/>
    </row>
    <row r="5" customFormat="false" ht="12.75" hidden="false" customHeight="false" outlineLevel="0" collapsed="false">
      <c r="B5" s="320" t="s">
        <v>287</v>
      </c>
      <c r="C5" s="124"/>
      <c r="D5" s="321" t="e">
        <f aca="false">COST-EST_IDC</f>
        <v>#REF!</v>
      </c>
    </row>
    <row r="6" customFormat="false" ht="12.75" hidden="false" customHeight="false" outlineLevel="0" collapsed="false">
      <c r="B6" s="29"/>
      <c r="E6" s="322" t="s">
        <v>288</v>
      </c>
      <c r="F6" s="322"/>
      <c r="G6" s="322"/>
    </row>
    <row r="7" customFormat="false" ht="12.75" hidden="false" customHeight="false" outlineLevel="0" collapsed="false">
      <c r="B7" s="194"/>
      <c r="C7" s="15"/>
      <c r="D7" s="17"/>
      <c r="E7" s="323" t="s">
        <v>289</v>
      </c>
      <c r="F7" s="324" t="s">
        <v>289</v>
      </c>
      <c r="G7" s="325" t="s">
        <v>290</v>
      </c>
    </row>
    <row r="8" customFormat="false" ht="12.75" hidden="false" customHeight="false" outlineLevel="0" collapsed="false">
      <c r="B8" s="207"/>
      <c r="C8" s="326" t="s">
        <v>291</v>
      </c>
      <c r="D8" s="34"/>
      <c r="E8" s="327" t="s">
        <v>292</v>
      </c>
      <c r="F8" s="326" t="s">
        <v>293</v>
      </c>
      <c r="G8" s="328" t="s">
        <v>293</v>
      </c>
    </row>
    <row r="9" customFormat="false" ht="12.75" hidden="false" customHeight="false" outlineLevel="0" collapsed="false">
      <c r="B9" s="329" t="s">
        <v>294</v>
      </c>
      <c r="C9" s="330" t="s">
        <v>295</v>
      </c>
      <c r="D9" s="34"/>
      <c r="E9" s="331" t="s">
        <v>296</v>
      </c>
      <c r="F9" s="36" t="s">
        <v>297</v>
      </c>
      <c r="G9" s="37" t="s">
        <v>297</v>
      </c>
    </row>
    <row r="10" customFormat="false" ht="12.75" hidden="false" customHeight="false" outlineLevel="0" collapsed="false">
      <c r="A10" s="332" t="n">
        <v>1</v>
      </c>
      <c r="B10" s="333" t="e">
        <f aca="false">EOMONTH(STARTCONST,A10-1)</f>
        <v>#VALUE!</v>
      </c>
      <c r="C10" s="30" t="s">
        <v>298</v>
      </c>
      <c r="D10" s="34"/>
      <c r="E10" s="334" t="n">
        <f aca="false">IF(TERM_C&gt;=A10,1/TERM_C,0)</f>
        <v>0.166666666666667</v>
      </c>
      <c r="F10" s="335" t="e">
        <f aca="false">E10*$D$5</f>
        <v>#REF!</v>
      </c>
      <c r="G10" s="46" t="e">
        <f aca="false">F10</f>
        <v>#REF!</v>
      </c>
    </row>
    <row r="11" customFormat="false" ht="12.75" hidden="false" customHeight="false" outlineLevel="0" collapsed="false">
      <c r="A11" s="1" t="n">
        <f aca="false">A10+1</f>
        <v>2</v>
      </c>
      <c r="B11" s="333" t="e">
        <f aca="false">EOMONTH(STARTCONST,A11-1)</f>
        <v>#VALUE!</v>
      </c>
      <c r="C11" s="30"/>
      <c r="D11" s="34"/>
      <c r="E11" s="334" t="n">
        <f aca="false">IF(TERM_C&gt;=A11,1/TERM_C,0)</f>
        <v>0.166666666666667</v>
      </c>
      <c r="F11" s="335" t="e">
        <f aca="false">E11*$D$5</f>
        <v>#REF!</v>
      </c>
      <c r="G11" s="46" t="e">
        <f aca="false">F11+G10</f>
        <v>#REF!</v>
      </c>
    </row>
    <row r="12" customFormat="false" ht="12.75" hidden="false" customHeight="false" outlineLevel="0" collapsed="false">
      <c r="A12" s="1" t="n">
        <f aca="false">A11+1</f>
        <v>3</v>
      </c>
      <c r="B12" s="333" t="e">
        <f aca="false">EOMONTH(STARTCONST,A12-1)</f>
        <v>#VALUE!</v>
      </c>
      <c r="C12" s="30"/>
      <c r="D12" s="34"/>
      <c r="E12" s="334" t="n">
        <f aca="false">IF(TERM_C&gt;=A12,1/TERM_C,0)</f>
        <v>0.166666666666667</v>
      </c>
      <c r="F12" s="335" t="e">
        <f aca="false">E12*$D$5</f>
        <v>#REF!</v>
      </c>
      <c r="G12" s="46" t="e">
        <f aca="false">F12+G11</f>
        <v>#REF!</v>
      </c>
    </row>
    <row r="13" customFormat="false" ht="12.75" hidden="false" customHeight="false" outlineLevel="0" collapsed="false">
      <c r="A13" s="1" t="n">
        <f aca="false">A12+1</f>
        <v>4</v>
      </c>
      <c r="B13" s="333" t="e">
        <f aca="false">EOMONTH(STARTCONST,A13-1)</f>
        <v>#VALUE!</v>
      </c>
      <c r="C13" s="30"/>
      <c r="D13" s="34"/>
      <c r="E13" s="334" t="n">
        <f aca="false">IF(TERM_C&gt;=A13,1/TERM_C,0)</f>
        <v>0.166666666666667</v>
      </c>
      <c r="F13" s="335" t="e">
        <f aca="false">E13*$D$5</f>
        <v>#REF!</v>
      </c>
      <c r="G13" s="46" t="e">
        <f aca="false">F13+G12</f>
        <v>#REF!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" t="n">
        <f aca="false">A13+1</f>
        <v>5</v>
      </c>
      <c r="B14" s="333" t="e">
        <f aca="false">EOMONTH(STARTCONST,A14-1)</f>
        <v>#VALUE!</v>
      </c>
      <c r="C14" s="30"/>
      <c r="D14" s="34"/>
      <c r="E14" s="334" t="n">
        <f aca="false">IF(TERM_C&gt;=A14,1/TERM_C,0)</f>
        <v>0.166666666666667</v>
      </c>
      <c r="F14" s="335" t="e">
        <f aca="false">E14*$D$5</f>
        <v>#REF!</v>
      </c>
      <c r="G14" s="46" t="e">
        <f aca="false">F14+G13</f>
        <v>#REF!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" t="n">
        <f aca="false">A14+1</f>
        <v>6</v>
      </c>
      <c r="B15" s="333" t="e">
        <f aca="false">EOMONTH(STARTCONST,A15-1)</f>
        <v>#VALUE!</v>
      </c>
      <c r="C15" s="30"/>
      <c r="D15" s="34"/>
      <c r="E15" s="334" t="n">
        <f aca="false">IF(TERM_C&gt;=A15,1/TERM_C,0)</f>
        <v>0.166666666666667</v>
      </c>
      <c r="F15" s="335" t="e">
        <f aca="false">E15*$D$5</f>
        <v>#REF!</v>
      </c>
      <c r="G15" s="46" t="e">
        <f aca="false">F15+G14</f>
        <v>#REF!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1" t="n">
        <f aca="false">A15+1</f>
        <v>7</v>
      </c>
      <c r="B16" s="333" t="e">
        <f aca="false">EOMONTH(STARTCONST,A16-1)</f>
        <v>#VALUE!</v>
      </c>
      <c r="C16" s="30"/>
      <c r="D16" s="34"/>
      <c r="E16" s="334" t="n">
        <f aca="false">IF(TERM_C&gt;=A16,1/TERM_C,0)</f>
        <v>0</v>
      </c>
      <c r="F16" s="335" t="e">
        <f aca="false">E16*$D$5</f>
        <v>#REF!</v>
      </c>
      <c r="G16" s="46" t="e">
        <f aca="false">F16+G15</f>
        <v>#REF!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1" t="n">
        <f aca="false">A16+1</f>
        <v>8</v>
      </c>
      <c r="B17" s="333" t="e">
        <f aca="false">EOMONTH(STARTCONST,A17-1)</f>
        <v>#VALUE!</v>
      </c>
      <c r="C17" s="30"/>
      <c r="D17" s="34"/>
      <c r="E17" s="334" t="n">
        <f aca="false">IF(TERM_C&gt;=A17,1/TERM_C,0)</f>
        <v>0</v>
      </c>
      <c r="F17" s="335" t="e">
        <f aca="false">E17*$D$5</f>
        <v>#REF!</v>
      </c>
      <c r="G17" s="46" t="e">
        <f aca="false">F17+G16</f>
        <v>#REF!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" t="n">
        <f aca="false">A17+1</f>
        <v>9</v>
      </c>
      <c r="B18" s="333" t="e">
        <f aca="false">EOMONTH(STARTCONST,A18-1)</f>
        <v>#VALUE!</v>
      </c>
      <c r="C18" s="30"/>
      <c r="D18" s="34"/>
      <c r="E18" s="334" t="n">
        <f aca="false">IF(TERM_C&gt;=A18,1/TERM_C,0)</f>
        <v>0</v>
      </c>
      <c r="F18" s="335" t="e">
        <f aca="false">E18*$D$5</f>
        <v>#REF!</v>
      </c>
      <c r="G18" s="46" t="e">
        <f aca="false">F18+G17</f>
        <v>#REF!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" t="n">
        <f aca="false">A18+1</f>
        <v>10</v>
      </c>
      <c r="B19" s="333" t="e">
        <f aca="false">EOMONTH(STARTCONST,A19-1)</f>
        <v>#VALUE!</v>
      </c>
      <c r="C19" s="30"/>
      <c r="D19" s="34"/>
      <c r="E19" s="334" t="n">
        <f aca="false">IF(TERM_C&gt;=A19,1/TERM_C,0)</f>
        <v>0</v>
      </c>
      <c r="F19" s="335" t="e">
        <f aca="false">E19*$D$5</f>
        <v>#REF!</v>
      </c>
      <c r="G19" s="46" t="e">
        <f aca="false">F19+G18</f>
        <v>#REF!</v>
      </c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1" t="n">
        <f aca="false">A19+1</f>
        <v>11</v>
      </c>
      <c r="B20" s="333" t="e">
        <f aca="false">EOMONTH(STARTCONST,A20-1)</f>
        <v>#VALUE!</v>
      </c>
      <c r="C20" s="30"/>
      <c r="D20" s="34"/>
      <c r="E20" s="334" t="n">
        <f aca="false">IF(TERM_C&gt;=A20,1/TERM_C,0)</f>
        <v>0</v>
      </c>
      <c r="F20" s="335" t="e">
        <f aca="false">E20*$D$5</f>
        <v>#REF!</v>
      </c>
      <c r="G20" s="46" t="e">
        <f aca="false">F20+G19</f>
        <v>#REF!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" t="n">
        <f aca="false">A20+1</f>
        <v>12</v>
      </c>
      <c r="B21" s="333" t="e">
        <f aca="false">EOMONTH(STARTCONST,A21-1)</f>
        <v>#VALUE!</v>
      </c>
      <c r="C21" s="30"/>
      <c r="D21" s="34"/>
      <c r="E21" s="334" t="n">
        <f aca="false">IF(TERM_C&gt;=A21,1/TERM_C,0)</f>
        <v>0</v>
      </c>
      <c r="F21" s="335" t="e">
        <f aca="false">E21*$D$5</f>
        <v>#REF!</v>
      </c>
      <c r="G21" s="46" t="e">
        <f aca="false">F21+G20</f>
        <v>#REF!</v>
      </c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" t="n">
        <f aca="false">A21+1</f>
        <v>13</v>
      </c>
      <c r="B22" s="333" t="e">
        <f aca="false">EOMONTH(STARTCONST,A22-1)</f>
        <v>#VALUE!</v>
      </c>
      <c r="C22" s="30"/>
      <c r="D22" s="34"/>
      <c r="E22" s="334" t="n">
        <f aca="false">IF(TERM_C&gt;=A22,1/TERM_C,0)</f>
        <v>0</v>
      </c>
      <c r="F22" s="335" t="e">
        <f aca="false">E22*$D$5</f>
        <v>#REF!</v>
      </c>
      <c r="G22" s="46" t="e">
        <f aca="false">F22+G21</f>
        <v>#REF!</v>
      </c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1" t="n">
        <f aca="false">A22+1</f>
        <v>14</v>
      </c>
      <c r="B23" s="333" t="e">
        <f aca="false">EOMONTH(STARTCONST,A23-1)</f>
        <v>#VALUE!</v>
      </c>
      <c r="C23" s="30"/>
      <c r="D23" s="34"/>
      <c r="E23" s="334" t="n">
        <f aca="false">IF(TERM_C&gt;=A23,1/TERM_C,0)</f>
        <v>0</v>
      </c>
      <c r="F23" s="335" t="e">
        <f aca="false">E23*$D$5</f>
        <v>#REF!</v>
      </c>
      <c r="G23" s="46" t="e">
        <f aca="false">F23+G22</f>
        <v>#REF!</v>
      </c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1" t="n">
        <f aca="false">A23+1</f>
        <v>15</v>
      </c>
      <c r="B24" s="333" t="e">
        <f aca="false">EOMONTH(STARTCONST,A24-1)</f>
        <v>#VALUE!</v>
      </c>
      <c r="C24" s="30"/>
      <c r="D24" s="34"/>
      <c r="E24" s="334" t="n">
        <f aca="false">IF(TERM_C&gt;=A24,1/TERM_C,0)</f>
        <v>0</v>
      </c>
      <c r="F24" s="335" t="e">
        <f aca="false">E24*$D$5</f>
        <v>#REF!</v>
      </c>
      <c r="G24" s="46" t="e">
        <f aca="false">F24+G23</f>
        <v>#REF!</v>
      </c>
    </row>
    <row r="25" customFormat="false" ht="12.75" hidden="false" customHeight="false" outlineLevel="0" collapsed="false">
      <c r="A25" s="1" t="n">
        <f aca="false">A24+1</f>
        <v>16</v>
      </c>
      <c r="B25" s="333" t="e">
        <f aca="false">EOMONTH(STARTCONST,A25-1)</f>
        <v>#VALUE!</v>
      </c>
      <c r="C25" s="30"/>
      <c r="D25" s="34"/>
      <c r="E25" s="334" t="n">
        <f aca="false">IF(TERM_C&gt;=A25,1/TERM_C,0)</f>
        <v>0</v>
      </c>
      <c r="F25" s="335" t="e">
        <f aca="false">E25*$D$5</f>
        <v>#REF!</v>
      </c>
      <c r="G25" s="46" t="e">
        <f aca="false">F25+G24</f>
        <v>#REF!</v>
      </c>
    </row>
    <row r="26" customFormat="false" ht="12.75" hidden="false" customHeight="false" outlineLevel="0" collapsed="false">
      <c r="A26" s="1" t="n">
        <f aca="false">A25+1</f>
        <v>17</v>
      </c>
      <c r="B26" s="333" t="e">
        <f aca="false">EOMONTH(STARTCONST,A26-1)</f>
        <v>#VALUE!</v>
      </c>
      <c r="C26" s="30"/>
      <c r="D26" s="34"/>
      <c r="E26" s="334" t="n">
        <f aca="false">IF(TERM_C&gt;=A26,1/TERM_C,0)</f>
        <v>0</v>
      </c>
      <c r="F26" s="335" t="e">
        <f aca="false">E26*$D$5</f>
        <v>#REF!</v>
      </c>
      <c r="G26" s="46" t="e">
        <f aca="false">F26+G25</f>
        <v>#REF!</v>
      </c>
    </row>
    <row r="27" customFormat="false" ht="12.75" hidden="false" customHeight="false" outlineLevel="0" collapsed="false">
      <c r="A27" s="1" t="n">
        <f aca="false">A26+1</f>
        <v>18</v>
      </c>
      <c r="B27" s="333" t="e">
        <f aca="false">EOMONTH(STARTCONST,A27-1)</f>
        <v>#VALUE!</v>
      </c>
      <c r="C27" s="30"/>
      <c r="D27" s="34"/>
      <c r="E27" s="334" t="n">
        <f aca="false">IF(TERM_C&gt;=A27,1/TERM_C,0)</f>
        <v>0</v>
      </c>
      <c r="F27" s="335" t="e">
        <f aca="false">E27*$D$5</f>
        <v>#REF!</v>
      </c>
      <c r="G27" s="46" t="e">
        <f aca="false">F27+G26</f>
        <v>#REF!</v>
      </c>
    </row>
    <row r="28" customFormat="false" ht="12.75" hidden="false" customHeight="false" outlineLevel="0" collapsed="false">
      <c r="A28" s="1" t="n">
        <f aca="false">A27+1</f>
        <v>19</v>
      </c>
      <c r="B28" s="333" t="e">
        <f aca="false">EOMONTH(STARTCONST,A28-1)</f>
        <v>#VALUE!</v>
      </c>
      <c r="C28" s="30"/>
      <c r="D28" s="34"/>
      <c r="E28" s="334" t="n">
        <f aca="false">IF(TERM_C&gt;=A28,1/TERM_C,0)</f>
        <v>0</v>
      </c>
      <c r="F28" s="335" t="e">
        <f aca="false">E28*$D$5</f>
        <v>#REF!</v>
      </c>
      <c r="G28" s="46" t="e">
        <f aca="false">F28+G27</f>
        <v>#REF!</v>
      </c>
    </row>
    <row r="29" customFormat="false" ht="12.75" hidden="false" customHeight="false" outlineLevel="0" collapsed="false">
      <c r="A29" s="1" t="n">
        <f aca="false">A28+1</f>
        <v>20</v>
      </c>
      <c r="B29" s="333" t="e">
        <f aca="false">EOMONTH(STARTCONST,A29-1)</f>
        <v>#VALUE!</v>
      </c>
      <c r="C29" s="30"/>
      <c r="D29" s="34"/>
      <c r="E29" s="334" t="n">
        <f aca="false">IF(TERM_C&gt;=A29,1/TERM_C,0)</f>
        <v>0</v>
      </c>
      <c r="F29" s="335" t="e">
        <f aca="false">E29*$D$5</f>
        <v>#REF!</v>
      </c>
      <c r="G29" s="46" t="e">
        <f aca="false">F29+G28</f>
        <v>#REF!</v>
      </c>
    </row>
    <row r="30" customFormat="false" ht="12.75" hidden="false" customHeight="false" outlineLevel="0" collapsed="false">
      <c r="A30" s="1" t="n">
        <f aca="false">A29+1</f>
        <v>21</v>
      </c>
      <c r="B30" s="333" t="e">
        <f aca="false">EOMONTH(STARTCONST,A30-1)</f>
        <v>#VALUE!</v>
      </c>
      <c r="C30" s="30"/>
      <c r="D30" s="34"/>
      <c r="E30" s="334" t="n">
        <f aca="false">IF(TERM_C&gt;=A30,1/TERM_C,0)</f>
        <v>0</v>
      </c>
      <c r="F30" s="335" t="e">
        <f aca="false">E30*$D$5</f>
        <v>#REF!</v>
      </c>
      <c r="G30" s="46" t="e">
        <f aca="false">F30+G29</f>
        <v>#REF!</v>
      </c>
    </row>
    <row r="31" customFormat="false" ht="12.75" hidden="false" customHeight="false" outlineLevel="0" collapsed="false">
      <c r="A31" s="1" t="n">
        <f aca="false">A30+1</f>
        <v>22</v>
      </c>
      <c r="B31" s="333" t="e">
        <f aca="false">EOMONTH(STARTCONST,A31-1)</f>
        <v>#VALUE!</v>
      </c>
      <c r="C31" s="30"/>
      <c r="D31" s="34"/>
      <c r="E31" s="334" t="n">
        <f aca="false">IF(TERM_C&gt;=A31,1/TERM_C,0)</f>
        <v>0</v>
      </c>
      <c r="F31" s="335" t="e">
        <f aca="false">E31*$D$5</f>
        <v>#REF!</v>
      </c>
      <c r="G31" s="46" t="e">
        <f aca="false">F31+G30</f>
        <v>#REF!</v>
      </c>
    </row>
    <row r="32" customFormat="false" ht="12.75" hidden="false" customHeight="false" outlineLevel="0" collapsed="false">
      <c r="A32" s="1" t="n">
        <f aca="false">A31+1</f>
        <v>23</v>
      </c>
      <c r="B32" s="333" t="e">
        <f aca="false">EOMONTH(STARTCONST,A32-1)</f>
        <v>#VALUE!</v>
      </c>
      <c r="C32" s="30"/>
      <c r="D32" s="34"/>
      <c r="E32" s="334" t="n">
        <f aca="false">IF(TERM_C&gt;=A32,1/TERM_C,0)</f>
        <v>0</v>
      </c>
      <c r="F32" s="335" t="e">
        <f aca="false">E32*$D$5</f>
        <v>#REF!</v>
      </c>
      <c r="G32" s="46" t="e">
        <f aca="false">F32+G31</f>
        <v>#REF!</v>
      </c>
    </row>
    <row r="33" customFormat="false" ht="12.75" hidden="false" customHeight="false" outlineLevel="0" collapsed="false">
      <c r="A33" s="1" t="n">
        <f aca="false">A32+1</f>
        <v>24</v>
      </c>
      <c r="B33" s="333" t="e">
        <f aca="false">EOMONTH(STARTCONST,A33-1)</f>
        <v>#VALUE!</v>
      </c>
      <c r="C33" s="30"/>
      <c r="D33" s="34"/>
      <c r="E33" s="334" t="n">
        <f aca="false">IF(TERM_C&gt;=A33,1/TERM_C,0)</f>
        <v>0</v>
      </c>
      <c r="F33" s="335" t="e">
        <f aca="false">E33*$D$5</f>
        <v>#REF!</v>
      </c>
      <c r="G33" s="46" t="e">
        <f aca="false">F33+G32</f>
        <v>#REF!</v>
      </c>
    </row>
    <row r="34" customFormat="false" ht="12.75" hidden="false" customHeight="false" outlineLevel="0" collapsed="false">
      <c r="A34" s="1" t="n">
        <f aca="false">A33+1</f>
        <v>25</v>
      </c>
      <c r="B34" s="333" t="e">
        <f aca="false">EOMONTH(STARTCONST,A34-1)</f>
        <v>#VALUE!</v>
      </c>
      <c r="C34" s="30"/>
      <c r="D34" s="34"/>
      <c r="E34" s="334" t="n">
        <f aca="false">IF(TERM_C&gt;=A34,1/TERM_C,0)</f>
        <v>0</v>
      </c>
      <c r="F34" s="335" t="e">
        <f aca="false">E34*$D$5</f>
        <v>#REF!</v>
      </c>
      <c r="G34" s="46" t="e">
        <f aca="false">F34+G33</f>
        <v>#REF!</v>
      </c>
    </row>
    <row r="35" customFormat="false" ht="12.75" hidden="false" customHeight="false" outlineLevel="0" collapsed="false">
      <c r="A35" s="1" t="n">
        <f aca="false">A34+1</f>
        <v>26</v>
      </c>
      <c r="B35" s="333" t="e">
        <f aca="false">EOMONTH(STARTCONST,A35-1)</f>
        <v>#VALUE!</v>
      </c>
      <c r="C35" s="30"/>
      <c r="D35" s="34"/>
      <c r="E35" s="334" t="n">
        <f aca="false">IF(TERM_C&gt;=A35,1/TERM_C,0)</f>
        <v>0</v>
      </c>
      <c r="F35" s="335" t="e">
        <f aca="false">E35*$D$5</f>
        <v>#REF!</v>
      </c>
      <c r="G35" s="46" t="e">
        <f aca="false">F35+G34</f>
        <v>#REF!</v>
      </c>
    </row>
    <row r="36" customFormat="false" ht="12.75" hidden="false" customHeight="false" outlineLevel="0" collapsed="false">
      <c r="A36" s="1" t="n">
        <f aca="false">A35+1</f>
        <v>27</v>
      </c>
      <c r="B36" s="333" t="e">
        <f aca="false">EOMONTH(STARTCONST,A36-1)</f>
        <v>#VALUE!</v>
      </c>
      <c r="C36" s="30"/>
      <c r="D36" s="34"/>
      <c r="E36" s="334" t="n">
        <f aca="false">IF(TERM_C&gt;=A36,1/TERM_C,0)</f>
        <v>0</v>
      </c>
      <c r="F36" s="335" t="e">
        <f aca="false">E36*$D$5</f>
        <v>#REF!</v>
      </c>
      <c r="G36" s="46" t="e">
        <f aca="false">F36+G35</f>
        <v>#REF!</v>
      </c>
    </row>
    <row r="37" customFormat="false" ht="12.75" hidden="false" customHeight="false" outlineLevel="0" collapsed="false">
      <c r="A37" s="1" t="n">
        <f aca="false">A36+1</f>
        <v>28</v>
      </c>
      <c r="B37" s="333" t="e">
        <f aca="false">EOMONTH(STARTCONST,A37-1)</f>
        <v>#VALUE!</v>
      </c>
      <c r="C37" s="30"/>
      <c r="D37" s="34"/>
      <c r="E37" s="334" t="n">
        <f aca="false">IF(TERM_C&gt;=A37,1/TERM_C,0)</f>
        <v>0</v>
      </c>
      <c r="F37" s="335" t="e">
        <f aca="false">E37*$D$5</f>
        <v>#REF!</v>
      </c>
      <c r="G37" s="46" t="e">
        <f aca="false">F37+G36</f>
        <v>#REF!</v>
      </c>
    </row>
    <row r="38" customFormat="false" ht="12.75" hidden="false" customHeight="false" outlineLevel="0" collapsed="false">
      <c r="A38" s="1" t="n">
        <f aca="false">A37+1</f>
        <v>29</v>
      </c>
      <c r="B38" s="333" t="e">
        <f aca="false">EOMONTH(STARTCONST,A38-1)</f>
        <v>#VALUE!</v>
      </c>
      <c r="C38" s="30"/>
      <c r="D38" s="34"/>
      <c r="E38" s="334" t="n">
        <f aca="false">IF(TERM_C&gt;=A38,1/TERM_C,0)</f>
        <v>0</v>
      </c>
      <c r="F38" s="335" t="e">
        <f aca="false">E38*$D$5</f>
        <v>#REF!</v>
      </c>
      <c r="G38" s="46" t="e">
        <f aca="false">F38+G37</f>
        <v>#REF!</v>
      </c>
    </row>
    <row r="39" customFormat="false" ht="12.75" hidden="false" customHeight="false" outlineLevel="0" collapsed="false">
      <c r="A39" s="1" t="n">
        <f aca="false">A38+1</f>
        <v>30</v>
      </c>
      <c r="B39" s="333" t="e">
        <f aca="false">EOMONTH(STARTCONST,A39-1)</f>
        <v>#VALUE!</v>
      </c>
      <c r="C39" s="30"/>
      <c r="D39" s="34"/>
      <c r="E39" s="334" t="n">
        <f aca="false">IF(TERM_C&gt;=A39,1/TERM_C,0)</f>
        <v>0</v>
      </c>
      <c r="F39" s="335" t="e">
        <f aca="false">E39*$D$5</f>
        <v>#REF!</v>
      </c>
      <c r="G39" s="46" t="e">
        <f aca="false">F39+G38</f>
        <v>#REF!</v>
      </c>
    </row>
    <row r="40" customFormat="false" ht="12.75" hidden="false" customHeight="false" outlineLevel="0" collapsed="false">
      <c r="A40" s="1" t="n">
        <f aca="false">A39+1</f>
        <v>31</v>
      </c>
      <c r="B40" s="333" t="e">
        <f aca="false">EOMONTH(STARTCONST,A40-1)</f>
        <v>#VALUE!</v>
      </c>
      <c r="C40" s="30"/>
      <c r="D40" s="34"/>
      <c r="E40" s="334" t="n">
        <f aca="false">IF(TERM_C&gt;=A40,1/TERM_C,0)</f>
        <v>0</v>
      </c>
      <c r="F40" s="335" t="e">
        <f aca="false">E40*$D$5</f>
        <v>#REF!</v>
      </c>
      <c r="G40" s="46" t="e">
        <f aca="false">F40+G39</f>
        <v>#REF!</v>
      </c>
    </row>
    <row r="41" customFormat="false" ht="12.75" hidden="false" customHeight="false" outlineLevel="0" collapsed="false">
      <c r="A41" s="1" t="n">
        <f aca="false">A40+1</f>
        <v>32</v>
      </c>
      <c r="B41" s="333" t="e">
        <f aca="false">EOMONTH(STARTCONST,A41-1)</f>
        <v>#VALUE!</v>
      </c>
      <c r="C41" s="30"/>
      <c r="D41" s="34"/>
      <c r="E41" s="334" t="n">
        <f aca="false">IF(TERM_C&gt;=A41,1/TERM_C,0)</f>
        <v>0</v>
      </c>
      <c r="F41" s="335" t="e">
        <f aca="false">E41*$D$5</f>
        <v>#REF!</v>
      </c>
      <c r="G41" s="46" t="e">
        <f aca="false">F41+G40</f>
        <v>#REF!</v>
      </c>
    </row>
    <row r="42" customFormat="false" ht="12.75" hidden="false" customHeight="false" outlineLevel="0" collapsed="false">
      <c r="A42" s="1" t="n">
        <f aca="false">A41+1</f>
        <v>33</v>
      </c>
      <c r="B42" s="333" t="e">
        <f aca="false">EOMONTH(STARTCONST,A42-1)</f>
        <v>#VALUE!</v>
      </c>
      <c r="C42" s="30"/>
      <c r="D42" s="34"/>
      <c r="E42" s="334" t="n">
        <f aca="false">IF(TERM_C&gt;=A42,1/TERM_C,0)</f>
        <v>0</v>
      </c>
      <c r="F42" s="335" t="e">
        <f aca="false">E42*$D$5</f>
        <v>#REF!</v>
      </c>
      <c r="G42" s="46" t="e">
        <f aca="false">F42+G41</f>
        <v>#REF!</v>
      </c>
    </row>
    <row r="43" customFormat="false" ht="12.75" hidden="false" customHeight="false" outlineLevel="0" collapsed="false">
      <c r="A43" s="1" t="n">
        <f aca="false">A42+1</f>
        <v>34</v>
      </c>
      <c r="B43" s="333" t="e">
        <f aca="false">EOMONTH(STARTCONST,A43-1)</f>
        <v>#VALUE!</v>
      </c>
      <c r="C43" s="30"/>
      <c r="D43" s="34"/>
      <c r="E43" s="334" t="n">
        <f aca="false">IF(TERM_C&gt;=A43,1/TERM_C,0)</f>
        <v>0</v>
      </c>
      <c r="F43" s="335" t="e">
        <f aca="false">E43*$D$5</f>
        <v>#REF!</v>
      </c>
      <c r="G43" s="46" t="e">
        <f aca="false">F43+G42</f>
        <v>#REF!</v>
      </c>
    </row>
    <row r="44" customFormat="false" ht="12.75" hidden="false" customHeight="false" outlineLevel="0" collapsed="false">
      <c r="A44" s="1" t="n">
        <f aca="false">A43+1</f>
        <v>35</v>
      </c>
      <c r="B44" s="333" t="e">
        <f aca="false">EOMONTH(STARTCONST,A44-1)</f>
        <v>#VALUE!</v>
      </c>
      <c r="C44" s="30"/>
      <c r="D44" s="34"/>
      <c r="E44" s="334" t="n">
        <f aca="false">IF(TERM_C&gt;=A44,1/TERM_C,0)</f>
        <v>0</v>
      </c>
      <c r="F44" s="335" t="e">
        <f aca="false">E44*$D$5</f>
        <v>#REF!</v>
      </c>
      <c r="G44" s="46" t="e">
        <f aca="false">F44+G43</f>
        <v>#REF!</v>
      </c>
    </row>
    <row r="45" customFormat="false" ht="12.75" hidden="false" customHeight="false" outlineLevel="0" collapsed="false">
      <c r="A45" s="1" t="n">
        <f aca="false">A44+1</f>
        <v>36</v>
      </c>
      <c r="B45" s="333" t="e">
        <f aca="false">EOMONTH(STARTCONST,A45-1)</f>
        <v>#VALUE!</v>
      </c>
      <c r="C45" s="30"/>
      <c r="D45" s="34"/>
      <c r="E45" s="334" t="n">
        <f aca="false">IF(TERM_C&gt;=A45,1/TERM_C,0)</f>
        <v>0</v>
      </c>
      <c r="F45" s="335" t="e">
        <f aca="false">E45*$D$5</f>
        <v>#REF!</v>
      </c>
      <c r="G45" s="46" t="e">
        <f aca="false">F45+G44</f>
        <v>#REF!</v>
      </c>
    </row>
    <row r="46" customFormat="false" ht="12.75" hidden="false" customHeight="false" outlineLevel="0" collapsed="false">
      <c r="A46" s="1" t="n">
        <f aca="false">A45+1</f>
        <v>37</v>
      </c>
      <c r="B46" s="333" t="e">
        <f aca="false">EOMONTH(STARTCONST,A46-1)</f>
        <v>#VALUE!</v>
      </c>
      <c r="C46" s="30"/>
      <c r="D46" s="34"/>
      <c r="E46" s="334" t="n">
        <f aca="false">IF(TERM_C&gt;=A46,1/TERM_C,0)</f>
        <v>0</v>
      </c>
      <c r="F46" s="335" t="e">
        <f aca="false">E46*$D$5</f>
        <v>#REF!</v>
      </c>
      <c r="G46" s="46" t="e">
        <f aca="false">F46+G45</f>
        <v>#REF!</v>
      </c>
    </row>
    <row r="47" customFormat="false" ht="12.75" hidden="false" customHeight="false" outlineLevel="0" collapsed="false">
      <c r="A47" s="1" t="n">
        <f aca="false">A46+1</f>
        <v>38</v>
      </c>
      <c r="B47" s="333" t="e">
        <f aca="false">EOMONTH(STARTCONST,A47-1)</f>
        <v>#VALUE!</v>
      </c>
      <c r="C47" s="30"/>
      <c r="D47" s="34"/>
      <c r="E47" s="334" t="n">
        <f aca="false">IF(TERM_C&gt;=A47,1/TERM_C,0)</f>
        <v>0</v>
      </c>
      <c r="F47" s="335" t="e">
        <f aca="false">E47*$D$5</f>
        <v>#REF!</v>
      </c>
      <c r="G47" s="46" t="e">
        <f aca="false">F47+G46</f>
        <v>#REF!</v>
      </c>
    </row>
    <row r="48" customFormat="false" ht="12.75" hidden="false" customHeight="false" outlineLevel="0" collapsed="false">
      <c r="A48" s="1" t="n">
        <f aca="false">A47+1</f>
        <v>39</v>
      </c>
      <c r="B48" s="333" t="e">
        <f aca="false">EOMONTH(STARTCONST,A48-1)</f>
        <v>#VALUE!</v>
      </c>
      <c r="C48" s="30"/>
      <c r="D48" s="34"/>
      <c r="E48" s="334" t="n">
        <f aca="false">IF(TERM_C&gt;=A48,1/TERM_C,0)</f>
        <v>0</v>
      </c>
      <c r="F48" s="335" t="e">
        <f aca="false">E48*$D$5</f>
        <v>#REF!</v>
      </c>
      <c r="G48" s="46" t="e">
        <f aca="false">F48+G47</f>
        <v>#REF!</v>
      </c>
    </row>
    <row r="49" customFormat="false" ht="12.75" hidden="false" customHeight="false" outlineLevel="0" collapsed="false">
      <c r="A49" s="1" t="n">
        <f aca="false">A48+1</f>
        <v>40</v>
      </c>
      <c r="B49" s="333" t="e">
        <f aca="false">EOMONTH(STARTCONST,A49-1)</f>
        <v>#VALUE!</v>
      </c>
      <c r="C49" s="30"/>
      <c r="D49" s="34"/>
      <c r="E49" s="334" t="n">
        <f aca="false">IF(TERM_C&gt;=A49,1/TERM_C,0)</f>
        <v>0</v>
      </c>
      <c r="F49" s="335" t="e">
        <f aca="false">E49*$D$5</f>
        <v>#REF!</v>
      </c>
      <c r="G49" s="46" t="e">
        <f aca="false">F49+G48</f>
        <v>#REF!</v>
      </c>
    </row>
    <row r="50" customFormat="false" ht="12.75" hidden="false" customHeight="false" outlineLevel="0" collapsed="false">
      <c r="A50" s="1" t="n">
        <f aca="false">A49+1</f>
        <v>41</v>
      </c>
      <c r="B50" s="333" t="e">
        <f aca="false">EOMONTH(STARTCONST,A50-1)</f>
        <v>#VALUE!</v>
      </c>
      <c r="C50" s="30"/>
      <c r="D50" s="34"/>
      <c r="E50" s="334" t="n">
        <f aca="false">IF(TERM_C&gt;=A50,1/TERM_C,0)</f>
        <v>0</v>
      </c>
      <c r="F50" s="335" t="e">
        <f aca="false">E50*$D$5</f>
        <v>#REF!</v>
      </c>
      <c r="G50" s="46" t="e">
        <f aca="false">F50+G49</f>
        <v>#REF!</v>
      </c>
    </row>
    <row r="51" customFormat="false" ht="12.75" hidden="false" customHeight="false" outlineLevel="0" collapsed="false">
      <c r="A51" s="1" t="n">
        <f aca="false">A50+1</f>
        <v>42</v>
      </c>
      <c r="B51" s="333" t="e">
        <f aca="false">EOMONTH(STARTCONST,A51-1)</f>
        <v>#VALUE!</v>
      </c>
      <c r="C51" s="30"/>
      <c r="D51" s="34"/>
      <c r="E51" s="334" t="n">
        <f aca="false">IF(TERM_C&gt;=A51,1/TERM_C,0)</f>
        <v>0</v>
      </c>
      <c r="F51" s="335" t="e">
        <f aca="false">E51*$D$5</f>
        <v>#REF!</v>
      </c>
      <c r="G51" s="46" t="e">
        <f aca="false">F51+G50</f>
        <v>#REF!</v>
      </c>
    </row>
    <row r="52" customFormat="false" ht="12.75" hidden="false" customHeight="false" outlineLevel="0" collapsed="false">
      <c r="A52" s="1" t="n">
        <f aca="false">A51+1</f>
        <v>43</v>
      </c>
      <c r="B52" s="333" t="e">
        <f aca="false">EOMONTH(STARTCONST,A52-1)</f>
        <v>#VALUE!</v>
      </c>
      <c r="C52" s="30"/>
      <c r="D52" s="34"/>
      <c r="E52" s="334" t="n">
        <f aca="false">IF(TERM_C&gt;=A52,1/TERM_C,0)</f>
        <v>0</v>
      </c>
      <c r="F52" s="335" t="e">
        <f aca="false">E52*$D$5</f>
        <v>#REF!</v>
      </c>
      <c r="G52" s="46" t="e">
        <f aca="false">F52+G51</f>
        <v>#REF!</v>
      </c>
    </row>
    <row r="53" customFormat="false" ht="12.75" hidden="false" customHeight="false" outlineLevel="0" collapsed="false">
      <c r="A53" s="1" t="n">
        <f aca="false">A52+1</f>
        <v>44</v>
      </c>
      <c r="B53" s="333" t="e">
        <f aca="false">EOMONTH(STARTCONST,A53-1)</f>
        <v>#VALUE!</v>
      </c>
      <c r="C53" s="30"/>
      <c r="D53" s="34"/>
      <c r="E53" s="334" t="n">
        <f aca="false">IF(TERM_C&gt;=A53,1/TERM_C,0)</f>
        <v>0</v>
      </c>
      <c r="F53" s="335" t="e">
        <f aca="false">E53*$D$5</f>
        <v>#REF!</v>
      </c>
      <c r="G53" s="46" t="e">
        <f aca="false">F53+G52</f>
        <v>#REF!</v>
      </c>
    </row>
    <row r="54" customFormat="false" ht="12.75" hidden="false" customHeight="false" outlineLevel="0" collapsed="false">
      <c r="A54" s="1" t="n">
        <f aca="false">A53+1</f>
        <v>45</v>
      </c>
      <c r="B54" s="333" t="e">
        <f aca="false">EOMONTH(STARTCONST,A54-1)</f>
        <v>#VALUE!</v>
      </c>
      <c r="C54" s="30"/>
      <c r="D54" s="34"/>
      <c r="E54" s="334" t="n">
        <f aca="false">IF(TERM_C&gt;=A54,1/TERM_C,0)</f>
        <v>0</v>
      </c>
      <c r="F54" s="335" t="e">
        <f aca="false">E54*$D$5</f>
        <v>#REF!</v>
      </c>
      <c r="G54" s="46" t="e">
        <f aca="false">F54+G53</f>
        <v>#REF!</v>
      </c>
    </row>
    <row r="55" customFormat="false" ht="12.75" hidden="false" customHeight="false" outlineLevel="0" collapsed="false">
      <c r="A55" s="1" t="n">
        <f aca="false">A54+1</f>
        <v>46</v>
      </c>
      <c r="B55" s="333" t="e">
        <f aca="false">EOMONTH(STARTCONST,A55-1)</f>
        <v>#VALUE!</v>
      </c>
      <c r="C55" s="30"/>
      <c r="D55" s="34"/>
      <c r="E55" s="334" t="n">
        <f aca="false">IF(TERM_C&gt;=A55,1/TERM_C,0)</f>
        <v>0</v>
      </c>
      <c r="F55" s="335" t="e">
        <f aca="false">E55*$D$5</f>
        <v>#REF!</v>
      </c>
      <c r="G55" s="46" t="e">
        <f aca="false">F55+G54</f>
        <v>#REF!</v>
      </c>
    </row>
    <row r="56" customFormat="false" ht="12.75" hidden="false" customHeight="false" outlineLevel="0" collapsed="false">
      <c r="A56" s="1" t="n">
        <f aca="false">A55+1</f>
        <v>47</v>
      </c>
      <c r="B56" s="333" t="e">
        <f aca="false">EOMONTH(STARTCONST,A56-1)</f>
        <v>#VALUE!</v>
      </c>
      <c r="C56" s="30"/>
      <c r="D56" s="34"/>
      <c r="E56" s="334" t="n">
        <f aca="false">IF(TERM_C&gt;=A56,1/TERM_C,0)</f>
        <v>0</v>
      </c>
      <c r="F56" s="335" t="e">
        <f aca="false">E56*$D$5</f>
        <v>#REF!</v>
      </c>
      <c r="G56" s="46" t="e">
        <f aca="false">F56+G55</f>
        <v>#REF!</v>
      </c>
    </row>
    <row r="57" customFormat="false" ht="12.75" hidden="false" customHeight="false" outlineLevel="0" collapsed="false">
      <c r="A57" s="1" t="n">
        <f aca="false">A56+1</f>
        <v>48</v>
      </c>
      <c r="B57" s="333" t="e">
        <f aca="false">EOMONTH(STARTCONST,A57-1)</f>
        <v>#VALUE!</v>
      </c>
      <c r="C57" s="30"/>
      <c r="D57" s="34"/>
      <c r="E57" s="334" t="n">
        <f aca="false">IF(TERM_C&gt;=A57,1/TERM_C,0)</f>
        <v>0</v>
      </c>
      <c r="F57" s="335" t="e">
        <f aca="false">E57*$D$5</f>
        <v>#REF!</v>
      </c>
      <c r="G57" s="46" t="e">
        <f aca="false">F57+G56</f>
        <v>#REF!</v>
      </c>
    </row>
    <row r="58" customFormat="false" ht="12.75" hidden="false" customHeight="false" outlineLevel="0" collapsed="false">
      <c r="A58" s="1" t="n">
        <f aca="false">A57+1</f>
        <v>49</v>
      </c>
      <c r="B58" s="333" t="e">
        <f aca="false">EOMONTH(STARTCONST,A58-1)</f>
        <v>#VALUE!</v>
      </c>
      <c r="C58" s="30"/>
      <c r="D58" s="34"/>
      <c r="E58" s="334" t="n">
        <f aca="false">IF(TERM_C&gt;=A58,1/TERM_C,0)</f>
        <v>0</v>
      </c>
      <c r="F58" s="335" t="e">
        <f aca="false">E58*$D$5</f>
        <v>#REF!</v>
      </c>
      <c r="G58" s="46" t="e">
        <f aca="false">F58+G57</f>
        <v>#REF!</v>
      </c>
    </row>
    <row r="59" customFormat="false" ht="12.75" hidden="false" customHeight="false" outlineLevel="0" collapsed="false">
      <c r="A59" s="1" t="n">
        <f aca="false">A58+1</f>
        <v>50</v>
      </c>
      <c r="B59" s="333" t="e">
        <f aca="false">EOMONTH(STARTCONST,A59-1)</f>
        <v>#VALUE!</v>
      </c>
      <c r="C59" s="30"/>
      <c r="D59" s="34"/>
      <c r="E59" s="334" t="n">
        <f aca="false">IF(TERM_C&gt;=A59,1/TERM_C,0)</f>
        <v>0</v>
      </c>
      <c r="F59" s="335" t="e">
        <f aca="false">E59*$D$5</f>
        <v>#REF!</v>
      </c>
      <c r="G59" s="46" t="e">
        <f aca="false">F59+G58</f>
        <v>#REF!</v>
      </c>
    </row>
    <row r="60" customFormat="false" ht="12.75" hidden="false" customHeight="false" outlineLevel="0" collapsed="false">
      <c r="A60" s="1" t="n">
        <f aca="false">A59+1</f>
        <v>51</v>
      </c>
      <c r="B60" s="333" t="e">
        <f aca="false">EOMONTH(STARTCONST,A60-1)</f>
        <v>#VALUE!</v>
      </c>
      <c r="C60" s="30"/>
      <c r="D60" s="34"/>
      <c r="E60" s="334" t="n">
        <f aca="false">IF(TERM_C&gt;=A60,1/TERM_C,0)</f>
        <v>0</v>
      </c>
      <c r="F60" s="335" t="e">
        <f aca="false">E60*$D$5</f>
        <v>#REF!</v>
      </c>
      <c r="G60" s="46" t="e">
        <f aca="false">F60+G59</f>
        <v>#REF!</v>
      </c>
    </row>
    <row r="61" customFormat="false" ht="12.75" hidden="false" customHeight="false" outlineLevel="0" collapsed="false">
      <c r="A61" s="1" t="n">
        <f aca="false">A60+1</f>
        <v>52</v>
      </c>
      <c r="B61" s="333" t="e">
        <f aca="false">EOMONTH(STARTCONST,A61-1)</f>
        <v>#VALUE!</v>
      </c>
      <c r="C61" s="30"/>
      <c r="D61" s="34"/>
      <c r="E61" s="334" t="n">
        <f aca="false">IF(TERM_C&gt;=A61,1/TERM_C,0)</f>
        <v>0</v>
      </c>
      <c r="F61" s="335" t="e">
        <f aca="false">E61*$D$5</f>
        <v>#REF!</v>
      </c>
      <c r="G61" s="46" t="e">
        <f aca="false">F61+G60</f>
        <v>#REF!</v>
      </c>
    </row>
    <row r="62" customFormat="false" ht="12.75" hidden="false" customHeight="false" outlineLevel="0" collapsed="false">
      <c r="A62" s="1" t="n">
        <f aca="false">A61+1</f>
        <v>53</v>
      </c>
      <c r="B62" s="333" t="e">
        <f aca="false">EOMONTH(STARTCONST,A62-1)</f>
        <v>#VALUE!</v>
      </c>
      <c r="C62" s="30"/>
      <c r="D62" s="34"/>
      <c r="E62" s="334" t="n">
        <f aca="false">IF(TERM_C&gt;=A62,1/TERM_C,0)</f>
        <v>0</v>
      </c>
      <c r="F62" s="335" t="e">
        <f aca="false">E62*$D$5</f>
        <v>#REF!</v>
      </c>
      <c r="G62" s="46" t="e">
        <f aca="false">F62+G61</f>
        <v>#REF!</v>
      </c>
    </row>
    <row r="63" customFormat="false" ht="12.75" hidden="false" customHeight="false" outlineLevel="0" collapsed="false">
      <c r="A63" s="1" t="n">
        <f aca="false">A62+1</f>
        <v>54</v>
      </c>
      <c r="B63" s="333" t="e">
        <f aca="false">EOMONTH(STARTCONST,A63-1)</f>
        <v>#VALUE!</v>
      </c>
      <c r="C63" s="30"/>
      <c r="D63" s="34"/>
      <c r="E63" s="334" t="n">
        <f aca="false">IF(TERM_C&gt;=A63,1/TERM_C,0)</f>
        <v>0</v>
      </c>
      <c r="F63" s="335" t="e">
        <f aca="false">E63*$D$5</f>
        <v>#REF!</v>
      </c>
      <c r="G63" s="46" t="e">
        <f aca="false">F63+G62</f>
        <v>#REF!</v>
      </c>
    </row>
    <row r="64" customFormat="false" ht="12.75" hidden="false" customHeight="false" outlineLevel="0" collapsed="false">
      <c r="A64" s="1" t="n">
        <f aca="false">A63+1</f>
        <v>55</v>
      </c>
      <c r="B64" s="333" t="e">
        <f aca="false">EOMONTH(STARTCONST,A64-1)</f>
        <v>#VALUE!</v>
      </c>
      <c r="C64" s="30"/>
      <c r="D64" s="34"/>
      <c r="E64" s="334" t="n">
        <f aca="false">IF(TERM_C&gt;=A64,1/TERM_C,0)</f>
        <v>0</v>
      </c>
      <c r="F64" s="335" t="e">
        <f aca="false">E64*$D$5</f>
        <v>#REF!</v>
      </c>
      <c r="G64" s="46" t="e">
        <f aca="false">F64+G63</f>
        <v>#REF!</v>
      </c>
    </row>
    <row r="65" customFormat="false" ht="12.75" hidden="false" customHeight="false" outlineLevel="0" collapsed="false">
      <c r="A65" s="1" t="n">
        <f aca="false">A64+1</f>
        <v>56</v>
      </c>
      <c r="B65" s="333" t="e">
        <f aca="false">EOMONTH(STARTCONST,A65-1)</f>
        <v>#VALUE!</v>
      </c>
      <c r="C65" s="30"/>
      <c r="D65" s="34"/>
      <c r="E65" s="334" t="n">
        <f aca="false">IF(TERM_C&gt;=A65,1/TERM_C,0)</f>
        <v>0</v>
      </c>
      <c r="F65" s="335" t="e">
        <f aca="false">E65*$D$5</f>
        <v>#REF!</v>
      </c>
      <c r="G65" s="46" t="e">
        <f aca="false">F65+G64</f>
        <v>#REF!</v>
      </c>
    </row>
    <row r="66" customFormat="false" ht="12.75" hidden="false" customHeight="false" outlineLevel="0" collapsed="false">
      <c r="A66" s="1" t="n">
        <f aca="false">A65+1</f>
        <v>57</v>
      </c>
      <c r="B66" s="333" t="e">
        <f aca="false">EOMONTH(STARTCONST,A66-1)</f>
        <v>#VALUE!</v>
      </c>
      <c r="C66" s="30"/>
      <c r="D66" s="34"/>
      <c r="E66" s="334" t="n">
        <f aca="false">IF(TERM_C&gt;=A66,1/TERM_C,0)</f>
        <v>0</v>
      </c>
      <c r="F66" s="335" t="e">
        <f aca="false">E66*$D$5</f>
        <v>#REF!</v>
      </c>
      <c r="G66" s="46" t="e">
        <f aca="false">F66+G65</f>
        <v>#REF!</v>
      </c>
    </row>
    <row r="67" customFormat="false" ht="12.75" hidden="false" customHeight="false" outlineLevel="0" collapsed="false">
      <c r="A67" s="1" t="n">
        <f aca="false">A66+1</f>
        <v>58</v>
      </c>
      <c r="B67" s="333" t="e">
        <f aca="false">EOMONTH(STARTCONST,A67-1)</f>
        <v>#VALUE!</v>
      </c>
      <c r="C67" s="30"/>
      <c r="D67" s="34"/>
      <c r="E67" s="334" t="n">
        <f aca="false">IF(TERM_C&gt;=A67,1/TERM_C,0)</f>
        <v>0</v>
      </c>
      <c r="F67" s="335" t="e">
        <f aca="false">E67*$D$5</f>
        <v>#REF!</v>
      </c>
      <c r="G67" s="46" t="e">
        <f aca="false">F67+G66</f>
        <v>#REF!</v>
      </c>
    </row>
    <row r="68" customFormat="false" ht="12.75" hidden="false" customHeight="false" outlineLevel="0" collapsed="false">
      <c r="A68" s="1" t="n">
        <f aca="false">A67+1</f>
        <v>59</v>
      </c>
      <c r="B68" s="333" t="e">
        <f aca="false">EOMONTH(STARTCONST,A68-1)</f>
        <v>#VALUE!</v>
      </c>
      <c r="C68" s="30"/>
      <c r="D68" s="34"/>
      <c r="E68" s="334" t="n">
        <f aca="false">IF(TERM_C&gt;=A68,1/TERM_C,0)</f>
        <v>0</v>
      </c>
      <c r="F68" s="335" t="e">
        <f aca="false">E68*$D$5</f>
        <v>#REF!</v>
      </c>
      <c r="G68" s="46" t="e">
        <f aca="false">F68+G67</f>
        <v>#REF!</v>
      </c>
    </row>
    <row r="69" customFormat="false" ht="12.75" hidden="false" customHeight="false" outlineLevel="0" collapsed="false">
      <c r="A69" s="1" t="n">
        <f aca="false">A68+1</f>
        <v>60</v>
      </c>
      <c r="B69" s="333" t="e">
        <f aca="false">EOMONTH(STARTCONST,A69-1)</f>
        <v>#VALUE!</v>
      </c>
      <c r="C69" s="30"/>
      <c r="D69" s="34"/>
      <c r="E69" s="334" t="n">
        <f aca="false">IF(TERM_C&gt;=A69,1/TERM_C,0)</f>
        <v>0</v>
      </c>
      <c r="F69" s="335" t="e">
        <f aca="false">E69*$D$5</f>
        <v>#REF!</v>
      </c>
      <c r="G69" s="46" t="e">
        <f aca="false">F69+G68</f>
        <v>#REF!</v>
      </c>
    </row>
    <row r="70" customFormat="false" ht="13.5" hidden="false" customHeight="false" outlineLevel="0" collapsed="false">
      <c r="B70" s="207"/>
      <c r="C70" s="30"/>
      <c r="D70" s="34"/>
      <c r="E70" s="334" t="s">
        <v>1</v>
      </c>
      <c r="F70" s="30"/>
      <c r="G70" s="34"/>
    </row>
    <row r="71" customFormat="false" ht="14.25" hidden="false" customHeight="false" outlineLevel="0" collapsed="false">
      <c r="B71" s="336" t="s">
        <v>299</v>
      </c>
      <c r="C71" s="337"/>
      <c r="D71" s="338"/>
      <c r="E71" s="339" t="n">
        <f aca="false">SUM(E10:E70)</f>
        <v>1</v>
      </c>
      <c r="F71" s="340" t="e">
        <f aca="false">SUM(F10:F70)</f>
        <v>#REF!</v>
      </c>
      <c r="G71" s="338"/>
    </row>
    <row r="72" customFormat="false" ht="13.5" hidden="false" customHeight="false" outlineLevel="0" collapsed="false"/>
    <row r="74" customFormat="false" ht="12.75" hidden="false" customHeight="false" outlineLevel="0" collapsed="false">
      <c r="A74" s="341" t="n">
        <v>1</v>
      </c>
      <c r="B74" s="341" t="n">
        <f aca="false">A74+1</f>
        <v>2</v>
      </c>
      <c r="C74" s="341" t="n">
        <f aca="false">B74+1</f>
        <v>3</v>
      </c>
      <c r="D74" s="341" t="n">
        <f aca="false">C74+1</f>
        <v>4</v>
      </c>
      <c r="E74" s="341" t="n">
        <f aca="false">D74+1</f>
        <v>5</v>
      </c>
      <c r="F74" s="341" t="n">
        <f aca="false">E74+1</f>
        <v>6</v>
      </c>
      <c r="G74" s="341" t="n">
        <f aca="false">F74+1</f>
        <v>7</v>
      </c>
    </row>
  </sheetData>
  <mergeCells count="1">
    <mergeCell ref="E6:G6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42"/>
  <sheetViews>
    <sheetView showFormulas="false" showGridLines="true" showRowColHeaders="true" showZeros="true" rightToLeft="false" tabSelected="false" showOutlineSymbols="true" defaultGridColor="true" view="normal" topLeftCell="K9" colorId="64" zoomScale="100" zoomScaleNormal="100" zoomScalePageLayoutView="100" workbookViewId="0">
      <selection pane="topLeft" activeCell="AP38" activeCellId="0" sqref="AP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10.71"/>
    <col collapsed="false" customWidth="true" hidden="false" outlineLevel="0" max="3" min="3" style="1" width="3.7"/>
    <col collapsed="false" customWidth="false" hidden="false" outlineLevel="0" max="257" min="4" style="1" width="9.14"/>
  </cols>
  <sheetData>
    <row r="1" customFormat="false" ht="15.75" hidden="false" customHeight="false" outlineLevel="0" collapsed="false">
      <c r="A1" s="342" t="s">
        <v>300</v>
      </c>
      <c r="B1" s="343"/>
      <c r="C1" s="344"/>
      <c r="D1" s="6"/>
    </row>
    <row r="2" customFormat="false" ht="15.75" hidden="false" customHeight="false" outlineLevel="0" collapsed="false">
      <c r="A2" s="345" t="n">
        <f aca="false">ASS!A4</f>
        <v>0</v>
      </c>
      <c r="B2" s="346"/>
      <c r="C2" s="347"/>
      <c r="D2" s="6"/>
    </row>
    <row r="3" customFormat="false" ht="15.75" hidden="false" customHeight="false" outlineLevel="0" collapsed="false">
      <c r="A3" s="348" t="str">
        <f aca="false">ASS!A5</f>
        <v>BASE MODEL</v>
      </c>
      <c r="B3" s="349"/>
      <c r="C3" s="274"/>
      <c r="D3" s="6"/>
    </row>
    <row r="6" customFormat="false" ht="12.75" hidden="false" customHeight="false" outlineLevel="0" collapsed="false">
      <c r="A6" s="18" t="s">
        <v>301</v>
      </c>
      <c r="B6" s="15"/>
      <c r="C6" s="15"/>
      <c r="D6" s="15"/>
      <c r="E6" s="350" t="n">
        <f aca="false">1</f>
        <v>1</v>
      </c>
      <c r="F6" s="350" t="n">
        <f aca="false">E6+1</f>
        <v>2</v>
      </c>
      <c r="G6" s="350" t="n">
        <f aca="false">F6+1</f>
        <v>3</v>
      </c>
      <c r="H6" s="350" t="n">
        <f aca="false">G6+1</f>
        <v>4</v>
      </c>
      <c r="I6" s="350" t="n">
        <f aca="false">H6+1</f>
        <v>5</v>
      </c>
      <c r="J6" s="350" t="n">
        <f aca="false">I6+1</f>
        <v>6</v>
      </c>
      <c r="K6" s="350" t="n">
        <f aca="false">J6+1</f>
        <v>7</v>
      </c>
      <c r="L6" s="350" t="n">
        <f aca="false">K6+1</f>
        <v>8</v>
      </c>
      <c r="M6" s="350" t="n">
        <f aca="false">L6+1</f>
        <v>9</v>
      </c>
      <c r="N6" s="350" t="n">
        <f aca="false">M6+1</f>
        <v>10</v>
      </c>
      <c r="O6" s="350" t="n">
        <f aca="false">N6+1</f>
        <v>11</v>
      </c>
      <c r="P6" s="350" t="n">
        <f aca="false">O6+1</f>
        <v>12</v>
      </c>
      <c r="Q6" s="350" t="n">
        <f aca="false">P6+1</f>
        <v>13</v>
      </c>
      <c r="R6" s="350" t="n">
        <f aca="false">Q6+1</f>
        <v>14</v>
      </c>
      <c r="S6" s="350" t="n">
        <f aca="false">R6+1</f>
        <v>15</v>
      </c>
      <c r="T6" s="350" t="n">
        <f aca="false">S6+1</f>
        <v>16</v>
      </c>
      <c r="U6" s="350" t="n">
        <f aca="false">T6+1</f>
        <v>17</v>
      </c>
      <c r="V6" s="350" t="n">
        <f aca="false">U6+1</f>
        <v>18</v>
      </c>
      <c r="W6" s="350" t="n">
        <f aca="false">V6+1</f>
        <v>19</v>
      </c>
      <c r="X6" s="350" t="n">
        <f aca="false">W6+1</f>
        <v>20</v>
      </c>
      <c r="Y6" s="350" t="n">
        <f aca="false">X6+1</f>
        <v>21</v>
      </c>
      <c r="Z6" s="350" t="n">
        <f aca="false">Y6+1</f>
        <v>22</v>
      </c>
      <c r="AA6" s="350" t="n">
        <f aca="false">Z6+1</f>
        <v>23</v>
      </c>
      <c r="AB6" s="350" t="n">
        <f aca="false">AA6+1</f>
        <v>24</v>
      </c>
      <c r="AC6" s="350" t="n">
        <f aca="false">AB6+1</f>
        <v>25</v>
      </c>
      <c r="AD6" s="350" t="n">
        <f aca="false">AC6+1</f>
        <v>26</v>
      </c>
      <c r="AE6" s="350" t="n">
        <f aca="false">AD6+1</f>
        <v>27</v>
      </c>
      <c r="AF6" s="350" t="n">
        <f aca="false">AE6+1</f>
        <v>28</v>
      </c>
      <c r="AG6" s="350" t="n">
        <f aca="false">AF6+1</f>
        <v>29</v>
      </c>
      <c r="AH6" s="350" t="n">
        <f aca="false">AG6+1</f>
        <v>30</v>
      </c>
      <c r="AI6" s="350" t="n">
        <f aca="false">AH6+1</f>
        <v>31</v>
      </c>
      <c r="AJ6" s="350" t="n">
        <f aca="false">AI6+1</f>
        <v>32</v>
      </c>
      <c r="AK6" s="350" t="n">
        <f aca="false">AJ6+1</f>
        <v>33</v>
      </c>
      <c r="AL6" s="350" t="n">
        <f aca="false">AK6+1</f>
        <v>34</v>
      </c>
      <c r="AM6" s="350" t="n">
        <f aca="false">AL6+1</f>
        <v>35</v>
      </c>
      <c r="AN6" s="351" t="n">
        <f aca="false">AM6+1</f>
        <v>36</v>
      </c>
      <c r="AO6" s="194"/>
    </row>
    <row r="7" customFormat="false" ht="12.75" hidden="false" customHeight="false" outlineLevel="0" collapsed="false">
      <c r="A7" s="168" t="s">
        <v>302</v>
      </c>
      <c r="B7" s="352"/>
      <c r="C7" s="352"/>
      <c r="D7" s="352"/>
      <c r="E7" s="353" t="e">
        <f aca="false">EOMONTH(STARTCONST,E6-1)</f>
        <v>#VALUE!</v>
      </c>
      <c r="F7" s="353" t="e">
        <f aca="false">EOMONTH(STARTCONST,F6-1)</f>
        <v>#VALUE!</v>
      </c>
      <c r="G7" s="353" t="e">
        <f aca="false">EOMONTH(STARTCONST,G6-1)</f>
        <v>#VALUE!</v>
      </c>
      <c r="H7" s="353" t="e">
        <f aca="false">EOMONTH(STARTCONST,H6-1)</f>
        <v>#VALUE!</v>
      </c>
      <c r="I7" s="353" t="e">
        <f aca="false">EOMONTH(STARTCONST,I6-1)</f>
        <v>#VALUE!</v>
      </c>
      <c r="J7" s="353" t="e">
        <f aca="false">EOMONTH(STARTCONST,J6-1)</f>
        <v>#VALUE!</v>
      </c>
      <c r="K7" s="353" t="e">
        <f aca="false">EOMONTH(STARTCONST,K6-1)</f>
        <v>#VALUE!</v>
      </c>
      <c r="L7" s="353" t="e">
        <f aca="false">EOMONTH(STARTCONST,L6-1)</f>
        <v>#VALUE!</v>
      </c>
      <c r="M7" s="353" t="e">
        <f aca="false">EOMONTH(STARTCONST,M6-1)</f>
        <v>#VALUE!</v>
      </c>
      <c r="N7" s="353" t="e">
        <f aca="false">EOMONTH(STARTCONST,N6-1)</f>
        <v>#VALUE!</v>
      </c>
      <c r="O7" s="353" t="e">
        <f aca="false">EOMONTH(STARTCONST,O6-1)</f>
        <v>#VALUE!</v>
      </c>
      <c r="P7" s="353" t="e">
        <f aca="false">EOMONTH(STARTCONST,P6-1)</f>
        <v>#VALUE!</v>
      </c>
      <c r="Q7" s="353" t="e">
        <f aca="false">EOMONTH(STARTCONST,Q6-1)</f>
        <v>#VALUE!</v>
      </c>
      <c r="R7" s="353" t="e">
        <f aca="false">EOMONTH(STARTCONST,R6-1)</f>
        <v>#VALUE!</v>
      </c>
      <c r="S7" s="353" t="e">
        <f aca="false">EOMONTH(STARTCONST,S6-1)</f>
        <v>#VALUE!</v>
      </c>
      <c r="T7" s="353" t="e">
        <f aca="false">EOMONTH(STARTCONST,T6-1)</f>
        <v>#VALUE!</v>
      </c>
      <c r="U7" s="353" t="e">
        <f aca="false">EOMONTH(STARTCONST,U6-1)</f>
        <v>#VALUE!</v>
      </c>
      <c r="V7" s="353" t="e">
        <f aca="false">EOMONTH(STARTCONST,V6-1)</f>
        <v>#VALUE!</v>
      </c>
      <c r="W7" s="353" t="e">
        <f aca="false">EOMONTH(STARTCONST,W6-1)</f>
        <v>#VALUE!</v>
      </c>
      <c r="X7" s="353" t="e">
        <f aca="false">EOMONTH(STARTCONST,X6-1)</f>
        <v>#VALUE!</v>
      </c>
      <c r="Y7" s="353" t="e">
        <f aca="false">EOMONTH(STARTCONST,Y6-1)</f>
        <v>#VALUE!</v>
      </c>
      <c r="Z7" s="353" t="e">
        <f aca="false">EOMONTH(STARTCONST,Z6-1)</f>
        <v>#VALUE!</v>
      </c>
      <c r="AA7" s="353" t="e">
        <f aca="false">EOMONTH(STARTCONST,AA6-1)</f>
        <v>#VALUE!</v>
      </c>
      <c r="AB7" s="353" t="e">
        <f aca="false">EOMONTH(STARTCONST,AB6-1)</f>
        <v>#VALUE!</v>
      </c>
      <c r="AC7" s="353" t="e">
        <f aca="false">EOMONTH(STARTCONST,AC6-1)</f>
        <v>#VALUE!</v>
      </c>
      <c r="AD7" s="353" t="e">
        <f aca="false">EOMONTH(STARTCONST,AD6-1)</f>
        <v>#VALUE!</v>
      </c>
      <c r="AE7" s="353" t="e">
        <f aca="false">EOMONTH(STARTCONST,AE6-1)</f>
        <v>#VALUE!</v>
      </c>
      <c r="AF7" s="353" t="e">
        <f aca="false">EOMONTH(STARTCONST,AF6-1)</f>
        <v>#VALUE!</v>
      </c>
      <c r="AG7" s="353" t="e">
        <f aca="false">EOMONTH(STARTCONST,AG6-1)</f>
        <v>#VALUE!</v>
      </c>
      <c r="AH7" s="353" t="e">
        <f aca="false">EOMONTH(STARTCONST,AH6-1)</f>
        <v>#VALUE!</v>
      </c>
      <c r="AI7" s="353" t="e">
        <f aca="false">EOMONTH(STARTCONST,AI6-1)</f>
        <v>#VALUE!</v>
      </c>
      <c r="AJ7" s="353" t="e">
        <f aca="false">EOMONTH(STARTCONST,AJ6-1)</f>
        <v>#VALUE!</v>
      </c>
      <c r="AK7" s="353" t="e">
        <f aca="false">EOMONTH(STARTCONST,AK6-1)</f>
        <v>#VALUE!</v>
      </c>
      <c r="AL7" s="353" t="e">
        <f aca="false">EOMONTH(STARTCONST,AL6-1)</f>
        <v>#VALUE!</v>
      </c>
      <c r="AM7" s="353" t="e">
        <f aca="false">EOMONTH(STARTCONST,AM6-1)</f>
        <v>#VALUE!</v>
      </c>
      <c r="AN7" s="353" t="e">
        <f aca="false">EOMONTH(STARTCONST,AN6-1)</f>
        <v>#VALUE!</v>
      </c>
      <c r="AO7" s="275" t="s">
        <v>299</v>
      </c>
      <c r="AP7" s="332" t="n">
        <v>1</v>
      </c>
    </row>
    <row r="8" customFormat="false" ht="12.75" hidden="false" customHeight="false" outlineLevel="0" collapsed="false">
      <c r="AP8" s="1" t="n">
        <f aca="false">AP7+1</f>
        <v>2</v>
      </c>
    </row>
    <row r="9" customFormat="false" ht="12.75" hidden="false" customHeight="false" outlineLevel="0" collapsed="false">
      <c r="AP9" s="1" t="n">
        <f aca="false">AP8+1</f>
        <v>3</v>
      </c>
    </row>
    <row r="10" customFormat="false" ht="12.75" hidden="false" customHeight="false" outlineLevel="0" collapsed="false">
      <c r="A10" s="13"/>
      <c r="B10" s="79" t="s">
        <v>303</v>
      </c>
      <c r="C10" s="79"/>
      <c r="D10" s="80" t="s">
        <v>304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7"/>
      <c r="AO10" s="194"/>
      <c r="AP10" s="1" t="n">
        <f aca="false">AP9+1</f>
        <v>4</v>
      </c>
    </row>
    <row r="11" customFormat="false" ht="12.75" hidden="false" customHeight="false" outlineLevel="0" collapsed="false">
      <c r="A11" s="35" t="s">
        <v>305</v>
      </c>
      <c r="B11" s="217" t="n">
        <f aca="false">EST_COST-EST_IDC</f>
        <v>82876.5105687329</v>
      </c>
      <c r="C11" s="217"/>
      <c r="D11" s="354" t="n">
        <f aca="false">EST_COST</f>
        <v>85273.7925122203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4"/>
      <c r="AO11" s="207"/>
      <c r="AP11" s="1" t="n">
        <f aca="false">AP10+1</f>
        <v>5</v>
      </c>
    </row>
    <row r="12" customFormat="false" ht="12.75" hidden="false" customHeight="false" outlineLevel="0" collapsed="false">
      <c r="A12" s="35" t="s">
        <v>306</v>
      </c>
      <c r="B12" s="91"/>
      <c r="C12" s="91"/>
      <c r="D12" s="355" t="e">
        <f aca="false">ASS!$X$31</f>
        <v>#REF!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4"/>
      <c r="AO12" s="207"/>
      <c r="AP12" s="1" t="n">
        <f aca="false">AP11+1</f>
        <v>6</v>
      </c>
    </row>
    <row r="13" customFormat="false" ht="12.75" hidden="false" customHeight="false" outlineLevel="0" collapsed="false">
      <c r="A13" s="168" t="s">
        <v>307</v>
      </c>
      <c r="B13" s="356" t="n">
        <f aca="false">ASS!W82</f>
        <v>0</v>
      </c>
      <c r="C13" s="356"/>
      <c r="D13" s="356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4"/>
      <c r="AO13" s="207"/>
      <c r="AP13" s="1" t="n">
        <f aca="false">AP12+1</f>
        <v>7</v>
      </c>
    </row>
    <row r="14" customFormat="false" ht="12.75" hidden="false" customHeight="false" outlineLevel="0" collapsed="false">
      <c r="A14" s="29" t="s">
        <v>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4"/>
      <c r="AO14" s="207"/>
      <c r="AP14" s="1" t="n">
        <f aca="false">AP13+1</f>
        <v>8</v>
      </c>
    </row>
    <row r="15" customFormat="false" ht="12.75" hidden="false" customHeight="false" outlineLevel="0" collapsed="false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4"/>
      <c r="AO15" s="207"/>
      <c r="AP15" s="1" t="n">
        <f aca="false">AP14+1</f>
        <v>9</v>
      </c>
    </row>
    <row r="16" customFormat="false" ht="12.75" hidden="false" customHeight="false" outlineLevel="0" collapsed="false">
      <c r="A16" s="160" t="s">
        <v>308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4"/>
      <c r="AO16" s="207"/>
      <c r="AP16" s="1" t="n">
        <f aca="false">AP15+1</f>
        <v>10</v>
      </c>
    </row>
    <row r="17" customFormat="false" ht="12.75" hidden="false" customHeight="false" outlineLevel="0" collapsed="false">
      <c r="A17" s="29" t="s">
        <v>309</v>
      </c>
      <c r="B17" s="30"/>
      <c r="C17" s="30"/>
      <c r="D17" s="30"/>
      <c r="E17" s="357" t="n">
        <v>0</v>
      </c>
      <c r="F17" s="212" t="e">
        <f aca="false">E20</f>
        <v>#REF!</v>
      </c>
      <c r="G17" s="212" t="e">
        <f aca="false">F20</f>
        <v>#REF!</v>
      </c>
      <c r="H17" s="212" t="e">
        <f aca="false">G20</f>
        <v>#REF!</v>
      </c>
      <c r="I17" s="212" t="e">
        <f aca="false">H20</f>
        <v>#REF!</v>
      </c>
      <c r="J17" s="212" t="e">
        <f aca="false">I20</f>
        <v>#REF!</v>
      </c>
      <c r="K17" s="212" t="e">
        <f aca="false">J20</f>
        <v>#REF!</v>
      </c>
      <c r="L17" s="212" t="e">
        <f aca="false">K20</f>
        <v>#REF!</v>
      </c>
      <c r="M17" s="212" t="e">
        <f aca="false">L20</f>
        <v>#REF!</v>
      </c>
      <c r="N17" s="212" t="e">
        <f aca="false">M20</f>
        <v>#REF!</v>
      </c>
      <c r="O17" s="212" t="e">
        <f aca="false">N20</f>
        <v>#REF!</v>
      </c>
      <c r="P17" s="212" t="e">
        <f aca="false">O20</f>
        <v>#REF!</v>
      </c>
      <c r="Q17" s="212" t="e">
        <f aca="false">P20</f>
        <v>#REF!</v>
      </c>
      <c r="R17" s="212" t="e">
        <f aca="false">Q20</f>
        <v>#REF!</v>
      </c>
      <c r="S17" s="212" t="e">
        <f aca="false">R20</f>
        <v>#REF!</v>
      </c>
      <c r="T17" s="212" t="e">
        <f aca="false">S20</f>
        <v>#REF!</v>
      </c>
      <c r="U17" s="212" t="e">
        <f aca="false">T20</f>
        <v>#REF!</v>
      </c>
      <c r="V17" s="212" t="e">
        <f aca="false">U20</f>
        <v>#REF!</v>
      </c>
      <c r="W17" s="212" t="e">
        <f aca="false">V20</f>
        <v>#REF!</v>
      </c>
      <c r="X17" s="212" t="e">
        <f aca="false">W20</f>
        <v>#REF!</v>
      </c>
      <c r="Y17" s="212" t="e">
        <f aca="false">X20</f>
        <v>#REF!</v>
      </c>
      <c r="Z17" s="212" t="e">
        <f aca="false">Y20</f>
        <v>#REF!</v>
      </c>
      <c r="AA17" s="212" t="e">
        <f aca="false">Z20</f>
        <v>#REF!</v>
      </c>
      <c r="AB17" s="212" t="e">
        <f aca="false">AA20</f>
        <v>#REF!</v>
      </c>
      <c r="AC17" s="212" t="e">
        <f aca="false">AB20</f>
        <v>#REF!</v>
      </c>
      <c r="AD17" s="212" t="e">
        <f aca="false">AC20</f>
        <v>#REF!</v>
      </c>
      <c r="AE17" s="212" t="e">
        <f aca="false">AD20</f>
        <v>#REF!</v>
      </c>
      <c r="AF17" s="212" t="e">
        <f aca="false">AE20</f>
        <v>#REF!</v>
      </c>
      <c r="AG17" s="212" t="e">
        <f aca="false">AF20</f>
        <v>#REF!</v>
      </c>
      <c r="AH17" s="212" t="e">
        <f aca="false">AG20</f>
        <v>#REF!</v>
      </c>
      <c r="AI17" s="212" t="e">
        <f aca="false">AH20</f>
        <v>#REF!</v>
      </c>
      <c r="AJ17" s="212" t="e">
        <f aca="false">AI20</f>
        <v>#REF!</v>
      </c>
      <c r="AK17" s="212" t="e">
        <f aca="false">AJ20</f>
        <v>#REF!</v>
      </c>
      <c r="AL17" s="212" t="e">
        <f aca="false">AK20</f>
        <v>#REF!</v>
      </c>
      <c r="AM17" s="212" t="e">
        <f aca="false">AL20</f>
        <v>#REF!</v>
      </c>
      <c r="AN17" s="76" t="e">
        <f aca="false">AM20</f>
        <v>#REF!</v>
      </c>
      <c r="AO17" s="207"/>
      <c r="AP17" s="1" t="n">
        <f aca="false">AP16+1</f>
        <v>11</v>
      </c>
    </row>
    <row r="18" customFormat="false" ht="12.75" hidden="false" customHeight="false" outlineLevel="0" collapsed="false">
      <c r="A18" s="29" t="s">
        <v>310</v>
      </c>
      <c r="B18" s="30"/>
      <c r="C18" s="30"/>
      <c r="D18" s="30"/>
      <c r="E18" s="212" t="e">
        <f aca="false">VLOOKUP(E6,DRAW_TABLE,DRAWDOWN!$F$74)</f>
        <v>#REF!</v>
      </c>
      <c r="F18" s="212" t="e">
        <f aca="false">VLOOKUP(F6,DRAW_TABLE,DRAWDOWN!$F$74)</f>
        <v>#REF!</v>
      </c>
      <c r="G18" s="212" t="e">
        <f aca="false">VLOOKUP(G6,DRAW_TABLE,DRAWDOWN!$F$74)</f>
        <v>#REF!</v>
      </c>
      <c r="H18" s="212" t="e">
        <f aca="false">VLOOKUP(H6,DRAW_TABLE,DRAWDOWN!$F$74)</f>
        <v>#REF!</v>
      </c>
      <c r="I18" s="212" t="e">
        <f aca="false">VLOOKUP(I6,DRAW_TABLE,DRAWDOWN!$F$74)</f>
        <v>#REF!</v>
      </c>
      <c r="J18" s="212" t="e">
        <f aca="false">VLOOKUP(J6,DRAW_TABLE,DRAWDOWN!$F$74)</f>
        <v>#REF!</v>
      </c>
      <c r="K18" s="212" t="e">
        <f aca="false">VLOOKUP(K6,DRAW_TABLE,DRAWDOWN!$F$74)</f>
        <v>#REF!</v>
      </c>
      <c r="L18" s="212" t="e">
        <f aca="false">VLOOKUP(L6,DRAW_TABLE,DRAWDOWN!$F$74)</f>
        <v>#REF!</v>
      </c>
      <c r="M18" s="212" t="e">
        <f aca="false">VLOOKUP(M6,DRAW_TABLE,DRAWDOWN!$F$74)</f>
        <v>#REF!</v>
      </c>
      <c r="N18" s="212" t="e">
        <f aca="false">VLOOKUP(N6,DRAW_TABLE,DRAWDOWN!$F$74)</f>
        <v>#REF!</v>
      </c>
      <c r="O18" s="212" t="e">
        <f aca="false">VLOOKUP(O6,DRAW_TABLE,DRAWDOWN!$F$74)</f>
        <v>#REF!</v>
      </c>
      <c r="P18" s="212" t="e">
        <f aca="false">VLOOKUP(P6,DRAW_TABLE,DRAWDOWN!$F$74)</f>
        <v>#REF!</v>
      </c>
      <c r="Q18" s="212" t="e">
        <f aca="false">VLOOKUP(Q6,DRAW_TABLE,DRAWDOWN!$F$74)</f>
        <v>#REF!</v>
      </c>
      <c r="R18" s="212" t="e">
        <f aca="false">VLOOKUP(R6,DRAW_TABLE,DRAWDOWN!$F$74)</f>
        <v>#REF!</v>
      </c>
      <c r="S18" s="212" t="e">
        <f aca="false">VLOOKUP(S6,DRAW_TABLE,DRAWDOWN!$F$74)</f>
        <v>#REF!</v>
      </c>
      <c r="T18" s="212" t="e">
        <f aca="false">VLOOKUP(T6,DRAW_TABLE,DRAWDOWN!$F$74)</f>
        <v>#REF!</v>
      </c>
      <c r="U18" s="212" t="e">
        <f aca="false">VLOOKUP(U6,DRAW_TABLE,DRAWDOWN!$F$74)</f>
        <v>#REF!</v>
      </c>
      <c r="V18" s="212" t="e">
        <f aca="false">VLOOKUP(V6,DRAW_TABLE,DRAWDOWN!$F$74)</f>
        <v>#REF!</v>
      </c>
      <c r="W18" s="212" t="e">
        <f aca="false">VLOOKUP(W6,DRAW_TABLE,DRAWDOWN!$F$74)</f>
        <v>#REF!</v>
      </c>
      <c r="X18" s="212" t="e">
        <f aca="false">VLOOKUP(X6,DRAW_TABLE,DRAWDOWN!$F$74)</f>
        <v>#REF!</v>
      </c>
      <c r="Y18" s="212" t="e">
        <f aca="false">VLOOKUP(Y6,DRAW_TABLE,DRAWDOWN!$F$74)</f>
        <v>#REF!</v>
      </c>
      <c r="Z18" s="212" t="e">
        <f aca="false">VLOOKUP(Z6,DRAW_TABLE,DRAWDOWN!$F$74)</f>
        <v>#REF!</v>
      </c>
      <c r="AA18" s="212" t="e">
        <f aca="false">VLOOKUP(AA6,DRAW_TABLE,DRAWDOWN!$F$74)</f>
        <v>#REF!</v>
      </c>
      <c r="AB18" s="212" t="e">
        <f aca="false">VLOOKUP(AB6,DRAW_TABLE,DRAWDOWN!$F$74)</f>
        <v>#REF!</v>
      </c>
      <c r="AC18" s="212" t="e">
        <f aca="false">VLOOKUP(AC6,DRAW_TABLE,DRAWDOWN!$F$74)</f>
        <v>#REF!</v>
      </c>
      <c r="AD18" s="212" t="e">
        <f aca="false">VLOOKUP(AD6,DRAW_TABLE,DRAWDOWN!$F$74)</f>
        <v>#REF!</v>
      </c>
      <c r="AE18" s="212" t="e">
        <f aca="false">VLOOKUP(AE6,DRAW_TABLE,DRAWDOWN!$F$74)</f>
        <v>#REF!</v>
      </c>
      <c r="AF18" s="212" t="e">
        <f aca="false">VLOOKUP(AF6,DRAW_TABLE,DRAWDOWN!$F$74)</f>
        <v>#REF!</v>
      </c>
      <c r="AG18" s="212" t="e">
        <f aca="false">VLOOKUP(AG6,DRAW_TABLE,DRAWDOWN!$F$74)</f>
        <v>#REF!</v>
      </c>
      <c r="AH18" s="212" t="e">
        <f aca="false">VLOOKUP(AH6,DRAW_TABLE,DRAWDOWN!$F$74)</f>
        <v>#REF!</v>
      </c>
      <c r="AI18" s="212" t="e">
        <f aca="false">VLOOKUP(AI6,DRAW_TABLE,DRAWDOWN!$F$74)</f>
        <v>#REF!</v>
      </c>
      <c r="AJ18" s="212" t="e">
        <f aca="false">VLOOKUP(AJ6,DRAW_TABLE,DRAWDOWN!$F$74)</f>
        <v>#REF!</v>
      </c>
      <c r="AK18" s="212" t="e">
        <f aca="false">VLOOKUP(AK6,DRAW_TABLE,DRAWDOWN!$F$74)</f>
        <v>#REF!</v>
      </c>
      <c r="AL18" s="212" t="e">
        <f aca="false">VLOOKUP(AL6,DRAW_TABLE,DRAWDOWN!$F$74)</f>
        <v>#REF!</v>
      </c>
      <c r="AM18" s="212" t="e">
        <f aca="false">VLOOKUP(AM6,DRAW_TABLE,DRAWDOWN!$F$74)</f>
        <v>#REF!</v>
      </c>
      <c r="AN18" s="212" t="e">
        <f aca="false">VLOOKUP(AN6,DRAW_TABLE,DRAWDOWN!$F$74)</f>
        <v>#REF!</v>
      </c>
      <c r="AO18" s="213" t="e">
        <f aca="false">SUM(E18:AN18)</f>
        <v>#REF!</v>
      </c>
      <c r="AP18" s="1" t="n">
        <f aca="false">AP17+1</f>
        <v>12</v>
      </c>
    </row>
    <row r="19" customFormat="false" ht="12.75" hidden="false" customHeight="false" outlineLevel="0" collapsed="false">
      <c r="A19" s="29" t="s">
        <v>311</v>
      </c>
      <c r="B19" s="30"/>
      <c r="C19" s="30"/>
      <c r="D19" s="30"/>
      <c r="E19" s="215" t="e">
        <f aca="false">E30</f>
        <v>#REF!</v>
      </c>
      <c r="F19" s="215" t="e">
        <f aca="false">F30</f>
        <v>#REF!</v>
      </c>
      <c r="G19" s="215" t="e">
        <f aca="false">G30</f>
        <v>#REF!</v>
      </c>
      <c r="H19" s="215" t="e">
        <f aca="false">H30</f>
        <v>#REF!</v>
      </c>
      <c r="I19" s="215" t="e">
        <f aca="false">I30</f>
        <v>#REF!</v>
      </c>
      <c r="J19" s="215" t="e">
        <f aca="false">J30</f>
        <v>#REF!</v>
      </c>
      <c r="K19" s="215" t="n">
        <f aca="false">K30</f>
        <v>0</v>
      </c>
      <c r="L19" s="215" t="n">
        <f aca="false">L30</f>
        <v>0</v>
      </c>
      <c r="M19" s="215" t="n">
        <f aca="false">M30</f>
        <v>0</v>
      </c>
      <c r="N19" s="215" t="n">
        <f aca="false">N30</f>
        <v>0</v>
      </c>
      <c r="O19" s="215" t="n">
        <f aca="false">O30</f>
        <v>0</v>
      </c>
      <c r="P19" s="215" t="n">
        <f aca="false">P30</f>
        <v>0</v>
      </c>
      <c r="Q19" s="215" t="n">
        <f aca="false">Q30</f>
        <v>0</v>
      </c>
      <c r="R19" s="215" t="n">
        <f aca="false">R30</f>
        <v>0</v>
      </c>
      <c r="S19" s="215" t="n">
        <f aca="false">S30</f>
        <v>0</v>
      </c>
      <c r="T19" s="215" t="n">
        <f aca="false">T30</f>
        <v>0</v>
      </c>
      <c r="U19" s="215" t="n">
        <f aca="false">U30</f>
        <v>0</v>
      </c>
      <c r="V19" s="215" t="n">
        <f aca="false">V30</f>
        <v>0</v>
      </c>
      <c r="W19" s="215" t="n">
        <f aca="false">W30</f>
        <v>0</v>
      </c>
      <c r="X19" s="215" t="n">
        <f aca="false">X30</f>
        <v>0</v>
      </c>
      <c r="Y19" s="215" t="n">
        <f aca="false">Y30</f>
        <v>0</v>
      </c>
      <c r="Z19" s="215" t="n">
        <f aca="false">Z30</f>
        <v>0</v>
      </c>
      <c r="AA19" s="215" t="n">
        <f aca="false">AA30</f>
        <v>0</v>
      </c>
      <c r="AB19" s="215" t="n">
        <f aca="false">AB30</f>
        <v>0</v>
      </c>
      <c r="AC19" s="215" t="n">
        <f aca="false">AC30</f>
        <v>0</v>
      </c>
      <c r="AD19" s="215" t="n">
        <f aca="false">AD30</f>
        <v>0</v>
      </c>
      <c r="AE19" s="215" t="n">
        <f aca="false">AE30</f>
        <v>0</v>
      </c>
      <c r="AF19" s="215" t="n">
        <f aca="false">AF30</f>
        <v>0</v>
      </c>
      <c r="AG19" s="215" t="n">
        <f aca="false">AG30</f>
        <v>0</v>
      </c>
      <c r="AH19" s="215" t="n">
        <f aca="false">AH30</f>
        <v>0</v>
      </c>
      <c r="AI19" s="215" t="n">
        <f aca="false">AI30</f>
        <v>0</v>
      </c>
      <c r="AJ19" s="215" t="n">
        <f aca="false">AJ30</f>
        <v>0</v>
      </c>
      <c r="AK19" s="215" t="n">
        <f aca="false">AK30</f>
        <v>0</v>
      </c>
      <c r="AL19" s="215" t="n">
        <f aca="false">AL30</f>
        <v>0</v>
      </c>
      <c r="AM19" s="215" t="n">
        <f aca="false">AM30</f>
        <v>0</v>
      </c>
      <c r="AN19" s="306" t="n">
        <f aca="false">AN30</f>
        <v>0</v>
      </c>
      <c r="AO19" s="213" t="e">
        <f aca="false">SUM(E19:AN19)</f>
        <v>#REF!</v>
      </c>
      <c r="AP19" s="1" t="n">
        <f aca="false">AP18+1</f>
        <v>13</v>
      </c>
    </row>
    <row r="20" customFormat="false" ht="12.75" hidden="false" customHeight="false" outlineLevel="0" collapsed="false">
      <c r="A20" s="29" t="s">
        <v>312</v>
      </c>
      <c r="B20" s="30"/>
      <c r="C20" s="30"/>
      <c r="D20" s="30"/>
      <c r="E20" s="212" t="e">
        <f aca="false">SUM(E17:E19)</f>
        <v>#REF!</v>
      </c>
      <c r="F20" s="212" t="e">
        <f aca="false">SUM(F17:F19)</f>
        <v>#REF!</v>
      </c>
      <c r="G20" s="212" t="e">
        <f aca="false">SUM(G17:G19)</f>
        <v>#REF!</v>
      </c>
      <c r="H20" s="212" t="e">
        <f aca="false">SUM(H17:H19)</f>
        <v>#REF!</v>
      </c>
      <c r="I20" s="212" t="e">
        <f aca="false">SUM(I17:I19)</f>
        <v>#REF!</v>
      </c>
      <c r="J20" s="212" t="e">
        <f aca="false">SUM(J17:J19)</f>
        <v>#REF!</v>
      </c>
      <c r="K20" s="212" t="e">
        <f aca="false">SUM(K17:K19)</f>
        <v>#REF!</v>
      </c>
      <c r="L20" s="212" t="e">
        <f aca="false">SUM(L17:L19)</f>
        <v>#REF!</v>
      </c>
      <c r="M20" s="212" t="e">
        <f aca="false">SUM(M17:M19)</f>
        <v>#REF!</v>
      </c>
      <c r="N20" s="212" t="e">
        <f aca="false">SUM(N17:N19)</f>
        <v>#REF!</v>
      </c>
      <c r="O20" s="212" t="e">
        <f aca="false">SUM(O17:O19)</f>
        <v>#REF!</v>
      </c>
      <c r="P20" s="212" t="e">
        <f aca="false">SUM(P17:P19)</f>
        <v>#REF!</v>
      </c>
      <c r="Q20" s="212" t="e">
        <f aca="false">SUM(Q17:Q19)</f>
        <v>#REF!</v>
      </c>
      <c r="R20" s="212" t="e">
        <f aca="false">SUM(R17:R19)</f>
        <v>#REF!</v>
      </c>
      <c r="S20" s="212" t="e">
        <f aca="false">SUM(S17:S19)</f>
        <v>#REF!</v>
      </c>
      <c r="T20" s="212" t="e">
        <f aca="false">SUM(T17:T19)</f>
        <v>#REF!</v>
      </c>
      <c r="U20" s="212" t="e">
        <f aca="false">SUM(U17:U19)</f>
        <v>#REF!</v>
      </c>
      <c r="V20" s="212" t="e">
        <f aca="false">SUM(V17:V19)</f>
        <v>#REF!</v>
      </c>
      <c r="W20" s="212" t="e">
        <f aca="false">SUM(W17:W19)</f>
        <v>#REF!</v>
      </c>
      <c r="X20" s="212" t="e">
        <f aca="false">SUM(X17:X19)</f>
        <v>#REF!</v>
      </c>
      <c r="Y20" s="212" t="e">
        <f aca="false">SUM(Y17:Y19)</f>
        <v>#REF!</v>
      </c>
      <c r="Z20" s="212" t="e">
        <f aca="false">SUM(Z17:Z19)</f>
        <v>#REF!</v>
      </c>
      <c r="AA20" s="212" t="e">
        <f aca="false">SUM(AA17:AA19)</f>
        <v>#REF!</v>
      </c>
      <c r="AB20" s="212" t="e">
        <f aca="false">SUM(AB17:AB19)</f>
        <v>#REF!</v>
      </c>
      <c r="AC20" s="212" t="e">
        <f aca="false">SUM(AC17:AC19)</f>
        <v>#REF!</v>
      </c>
      <c r="AD20" s="212" t="e">
        <f aca="false">SUM(AD17:AD19)</f>
        <v>#REF!</v>
      </c>
      <c r="AE20" s="212" t="e">
        <f aca="false">SUM(AE17:AE19)</f>
        <v>#REF!</v>
      </c>
      <c r="AF20" s="212" t="e">
        <f aca="false">SUM(AF17:AF19)</f>
        <v>#REF!</v>
      </c>
      <c r="AG20" s="212" t="e">
        <f aca="false">SUM(AG17:AG19)</f>
        <v>#REF!</v>
      </c>
      <c r="AH20" s="212" t="e">
        <f aca="false">SUM(AH17:AH19)</f>
        <v>#REF!</v>
      </c>
      <c r="AI20" s="212" t="e">
        <f aca="false">SUM(AI17:AI19)</f>
        <v>#REF!</v>
      </c>
      <c r="AJ20" s="212" t="e">
        <f aca="false">SUM(AJ17:AJ19)</f>
        <v>#REF!</v>
      </c>
      <c r="AK20" s="212" t="e">
        <f aca="false">SUM(AK17:AK19)</f>
        <v>#REF!</v>
      </c>
      <c r="AL20" s="212" t="e">
        <f aca="false">SUM(AL17:AL19)</f>
        <v>#REF!</v>
      </c>
      <c r="AM20" s="212" t="e">
        <f aca="false">SUM(AM17:AM19)</f>
        <v>#REF!</v>
      </c>
      <c r="AN20" s="76" t="e">
        <f aca="false">SUM(AN17:AN19)</f>
        <v>#REF!</v>
      </c>
      <c r="AO20" s="207"/>
      <c r="AP20" s="1" t="n">
        <f aca="false">AP19+1</f>
        <v>14</v>
      </c>
    </row>
    <row r="21" customFormat="false" ht="12.75" hidden="false" customHeight="false" outlineLevel="0" collapsed="false">
      <c r="A21" s="29" t="s">
        <v>313</v>
      </c>
      <c r="B21" s="30"/>
      <c r="C21" s="30"/>
      <c r="D21" s="30"/>
      <c r="E21" s="233" t="e">
        <f aca="false">SUM($E$18:E18)/$B$11</f>
        <v>#REF!</v>
      </c>
      <c r="F21" s="233" t="e">
        <f aca="false">SUM($E$18:F18)/$B$11</f>
        <v>#REF!</v>
      </c>
      <c r="G21" s="233" t="e">
        <f aca="false">SUM($E$18:G18)/$B$11</f>
        <v>#REF!</v>
      </c>
      <c r="H21" s="233" t="e">
        <f aca="false">SUM($E$18:H18)/$B$11</f>
        <v>#REF!</v>
      </c>
      <c r="I21" s="233" t="e">
        <f aca="false">SUM($E$18:I18)/$B$11</f>
        <v>#REF!</v>
      </c>
      <c r="J21" s="233" t="e">
        <f aca="false">SUM($E$18:J18)/$B$11</f>
        <v>#REF!</v>
      </c>
      <c r="K21" s="233" t="e">
        <f aca="false">SUM($E$18:K18)/$B$11</f>
        <v>#REF!</v>
      </c>
      <c r="L21" s="233" t="e">
        <f aca="false">SUM($E$18:L18)/$B$11</f>
        <v>#REF!</v>
      </c>
      <c r="M21" s="233" t="e">
        <f aca="false">SUM($E$18:M18)/$B$11</f>
        <v>#REF!</v>
      </c>
      <c r="N21" s="233" t="e">
        <f aca="false">SUM($E$18:N18)/$B$11</f>
        <v>#REF!</v>
      </c>
      <c r="O21" s="233" t="e">
        <f aca="false">SUM($E$18:O18)/$B$11</f>
        <v>#REF!</v>
      </c>
      <c r="P21" s="233" t="e">
        <f aca="false">SUM($E$18:P18)/$B$11</f>
        <v>#REF!</v>
      </c>
      <c r="Q21" s="233" t="e">
        <f aca="false">SUM($E$18:Q18)/$B$11</f>
        <v>#REF!</v>
      </c>
      <c r="R21" s="233" t="e">
        <f aca="false">SUM($E$18:R18)/$B$11</f>
        <v>#REF!</v>
      </c>
      <c r="S21" s="233" t="e">
        <f aca="false">SUM($E$18:S18)/$B$11</f>
        <v>#REF!</v>
      </c>
      <c r="T21" s="233" t="e">
        <f aca="false">SUM($E$18:T18)/$B$11</f>
        <v>#REF!</v>
      </c>
      <c r="U21" s="233" t="e">
        <f aca="false">SUM($E$18:U18)/$B$11</f>
        <v>#REF!</v>
      </c>
      <c r="V21" s="233" t="e">
        <f aca="false">SUM($E$18:V18)/$B$11</f>
        <v>#REF!</v>
      </c>
      <c r="W21" s="233" t="e">
        <f aca="false">SUM($E$18:W18)/$B$11</f>
        <v>#REF!</v>
      </c>
      <c r="X21" s="233" t="e">
        <f aca="false">SUM($E$18:X18)/$B$11</f>
        <v>#REF!</v>
      </c>
      <c r="Y21" s="233" t="e">
        <f aca="false">SUM($E$18:Y18)/$B$11</f>
        <v>#REF!</v>
      </c>
      <c r="Z21" s="233" t="e">
        <f aca="false">SUM($E$18:Z18)/$B$11</f>
        <v>#REF!</v>
      </c>
      <c r="AA21" s="233" t="e">
        <f aca="false">SUM($E$18:AA18)/$B$11</f>
        <v>#REF!</v>
      </c>
      <c r="AB21" s="233" t="e">
        <f aca="false">SUM($E$18:AB18)/$B$11</f>
        <v>#REF!</v>
      </c>
      <c r="AC21" s="233" t="e">
        <f aca="false">SUM($E$18:AC18)/$B$11</f>
        <v>#REF!</v>
      </c>
      <c r="AD21" s="233" t="e">
        <f aca="false">SUM($E$18:AD18)/$B$11</f>
        <v>#REF!</v>
      </c>
      <c r="AE21" s="233" t="e">
        <f aca="false">SUM($E$18:AE18)/$B$11</f>
        <v>#REF!</v>
      </c>
      <c r="AF21" s="233" t="e">
        <f aca="false">SUM($E$18:AF18)/$B$11</f>
        <v>#REF!</v>
      </c>
      <c r="AG21" s="233" t="e">
        <f aca="false">SUM($E$18:AG18)/$B$11</f>
        <v>#REF!</v>
      </c>
      <c r="AH21" s="233" t="e">
        <f aca="false">SUM($E$18:AH18)/$B$11</f>
        <v>#REF!</v>
      </c>
      <c r="AI21" s="233" t="e">
        <f aca="false">SUM($E$18:AI18)/$B$11</f>
        <v>#REF!</v>
      </c>
      <c r="AJ21" s="233" t="e">
        <f aca="false">SUM($E$18:AJ18)/$B$11</f>
        <v>#REF!</v>
      </c>
      <c r="AK21" s="233" t="e">
        <f aca="false">SUM($E$18:AK18)/$B$11</f>
        <v>#REF!</v>
      </c>
      <c r="AL21" s="233" t="e">
        <f aca="false">SUM($E$18:AL18)/$B$11</f>
        <v>#REF!</v>
      </c>
      <c r="AM21" s="233" t="e">
        <f aca="false">SUM($E$18:AM18)/$B$11</f>
        <v>#REF!</v>
      </c>
      <c r="AN21" s="358" t="e">
        <f aca="false">SUM($E$18:AN18)/$B$11</f>
        <v>#REF!</v>
      </c>
      <c r="AO21" s="207"/>
      <c r="AP21" s="1" t="n">
        <f aca="false">AP20+1</f>
        <v>15</v>
      </c>
    </row>
    <row r="22" customFormat="false" ht="12.75" hidden="false" customHeight="false" outlineLevel="0" collapsed="false">
      <c r="A22" s="29" t="s">
        <v>314</v>
      </c>
      <c r="B22" s="30"/>
      <c r="C22" s="30"/>
      <c r="D22" s="30"/>
      <c r="E22" s="233" t="e">
        <f aca="false">E20/$D$11</f>
        <v>#REF!</v>
      </c>
      <c r="F22" s="233" t="e">
        <f aca="false">F20/$D$11</f>
        <v>#REF!</v>
      </c>
      <c r="G22" s="233" t="e">
        <f aca="false">G20/$D$11</f>
        <v>#REF!</v>
      </c>
      <c r="H22" s="233" t="e">
        <f aca="false">H20/$D$11</f>
        <v>#REF!</v>
      </c>
      <c r="I22" s="233" t="e">
        <f aca="false">I20/$D$11</f>
        <v>#REF!</v>
      </c>
      <c r="J22" s="233" t="e">
        <f aca="false">J20/$D$11</f>
        <v>#REF!</v>
      </c>
      <c r="K22" s="233" t="e">
        <f aca="false">K20/$D$11</f>
        <v>#REF!</v>
      </c>
      <c r="L22" s="233" t="e">
        <f aca="false">L20/$D$11</f>
        <v>#REF!</v>
      </c>
      <c r="M22" s="233" t="e">
        <f aca="false">M20/$D$11</f>
        <v>#REF!</v>
      </c>
      <c r="N22" s="233" t="e">
        <f aca="false">N20/$D$11</f>
        <v>#REF!</v>
      </c>
      <c r="O22" s="233" t="e">
        <f aca="false">O20/$D$11</f>
        <v>#REF!</v>
      </c>
      <c r="P22" s="233" t="e">
        <f aca="false">P20/$D$11</f>
        <v>#REF!</v>
      </c>
      <c r="Q22" s="233" t="e">
        <f aca="false">Q20/$D$11</f>
        <v>#REF!</v>
      </c>
      <c r="R22" s="233" t="e">
        <f aca="false">R20/$D$11</f>
        <v>#REF!</v>
      </c>
      <c r="S22" s="233" t="e">
        <f aca="false">S20/$D$11</f>
        <v>#REF!</v>
      </c>
      <c r="T22" s="233" t="e">
        <f aca="false">T20/$D$11</f>
        <v>#REF!</v>
      </c>
      <c r="U22" s="233" t="e">
        <f aca="false">U20/$D$11</f>
        <v>#REF!</v>
      </c>
      <c r="V22" s="233" t="e">
        <f aca="false">V20/$D$11</f>
        <v>#REF!</v>
      </c>
      <c r="W22" s="233" t="e">
        <f aca="false">W20/$D$11</f>
        <v>#REF!</v>
      </c>
      <c r="X22" s="233" t="e">
        <f aca="false">X20/$D$11</f>
        <v>#REF!</v>
      </c>
      <c r="Y22" s="233" t="e">
        <f aca="false">Y20/$D$11</f>
        <v>#REF!</v>
      </c>
      <c r="Z22" s="233" t="e">
        <f aca="false">Z20/$D$11</f>
        <v>#REF!</v>
      </c>
      <c r="AA22" s="233" t="e">
        <f aca="false">AA20/$D$11</f>
        <v>#REF!</v>
      </c>
      <c r="AB22" s="233" t="e">
        <f aca="false">AB20/$D$11</f>
        <v>#REF!</v>
      </c>
      <c r="AC22" s="233" t="e">
        <f aca="false">AC20/$D$11</f>
        <v>#REF!</v>
      </c>
      <c r="AD22" s="233" t="e">
        <f aca="false">AD20/$D$11</f>
        <v>#REF!</v>
      </c>
      <c r="AE22" s="233" t="e">
        <f aca="false">AE20/$D$11</f>
        <v>#REF!</v>
      </c>
      <c r="AF22" s="233" t="e">
        <f aca="false">AF20/$D$11</f>
        <v>#REF!</v>
      </c>
      <c r="AG22" s="233" t="e">
        <f aca="false">AG20/$D$11</f>
        <v>#REF!</v>
      </c>
      <c r="AH22" s="233" t="e">
        <f aca="false">AH20/$D$11</f>
        <v>#REF!</v>
      </c>
      <c r="AI22" s="233" t="e">
        <f aca="false">AI20/$D$11</f>
        <v>#REF!</v>
      </c>
      <c r="AJ22" s="233" t="e">
        <f aca="false">AJ20/$D$11</f>
        <v>#REF!</v>
      </c>
      <c r="AK22" s="233" t="e">
        <f aca="false">AK20/$D$11</f>
        <v>#REF!</v>
      </c>
      <c r="AL22" s="233" t="e">
        <f aca="false">AL20/$D$11</f>
        <v>#REF!</v>
      </c>
      <c r="AM22" s="233" t="e">
        <f aca="false">AM20/$D$11</f>
        <v>#REF!</v>
      </c>
      <c r="AN22" s="358" t="e">
        <f aca="false">AN20/$D$11</f>
        <v>#REF!</v>
      </c>
      <c r="AO22" s="207"/>
      <c r="AP22" s="1" t="n">
        <f aca="false">AP21+1</f>
        <v>16</v>
      </c>
    </row>
    <row r="23" customFormat="false" ht="12.75" hidden="false" customHeight="false" outlineLevel="0" collapsed="false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4"/>
      <c r="AO23" s="207"/>
      <c r="AP23" s="1" t="n">
        <f aca="false">AP22+1</f>
        <v>17</v>
      </c>
    </row>
    <row r="24" customFormat="false" ht="12.75" hidden="false" customHeight="false" outlineLevel="0" collapsed="false">
      <c r="A24" s="160" t="s">
        <v>315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4"/>
      <c r="AO24" s="207"/>
      <c r="AP24" s="1" t="n">
        <f aca="false">AP23+1</f>
        <v>18</v>
      </c>
    </row>
    <row r="25" customFormat="false" ht="12.75" hidden="false" customHeight="false" outlineLevel="0" collapsed="false">
      <c r="A25" s="29" t="s">
        <v>316</v>
      </c>
      <c r="B25" s="30"/>
      <c r="C25" s="30"/>
      <c r="D25" s="30"/>
      <c r="E25" s="212" t="n">
        <f aca="false">E17*DEBTPERC</f>
        <v>0</v>
      </c>
      <c r="F25" s="212" t="e">
        <f aca="false">F17*DEBTPERC</f>
        <v>#REF!</v>
      </c>
      <c r="G25" s="212" t="e">
        <f aca="false">G17*DEBTPERC</f>
        <v>#REF!</v>
      </c>
      <c r="H25" s="212" t="e">
        <f aca="false">H17*DEBTPERC</f>
        <v>#REF!</v>
      </c>
      <c r="I25" s="212" t="e">
        <f aca="false">I17*DEBTPERC</f>
        <v>#REF!</v>
      </c>
      <c r="J25" s="212" t="e">
        <f aca="false">J17*DEBTPERC</f>
        <v>#REF!</v>
      </c>
      <c r="K25" s="212" t="e">
        <f aca="false">K17*DEBTPERC</f>
        <v>#REF!</v>
      </c>
      <c r="L25" s="212" t="e">
        <f aca="false">L17*DEBTPERC</f>
        <v>#REF!</v>
      </c>
      <c r="M25" s="212" t="e">
        <f aca="false">M17*DEBTPERC</f>
        <v>#REF!</v>
      </c>
      <c r="N25" s="212" t="e">
        <f aca="false">N17*DEBTPERC</f>
        <v>#REF!</v>
      </c>
      <c r="O25" s="212" t="e">
        <f aca="false">O17*DEBTPERC</f>
        <v>#REF!</v>
      </c>
      <c r="P25" s="212" t="e">
        <f aca="false">P17*DEBTPERC</f>
        <v>#REF!</v>
      </c>
      <c r="Q25" s="212" t="e">
        <f aca="false">Q17*DEBTPERC</f>
        <v>#REF!</v>
      </c>
      <c r="R25" s="212" t="e">
        <f aca="false">R17*DEBTPERC</f>
        <v>#REF!</v>
      </c>
      <c r="S25" s="212" t="e">
        <f aca="false">S17*DEBTPERC</f>
        <v>#REF!</v>
      </c>
      <c r="T25" s="212" t="e">
        <f aca="false">T17*DEBTPERC</f>
        <v>#REF!</v>
      </c>
      <c r="U25" s="212" t="e">
        <f aca="false">U17*DEBTPERC</f>
        <v>#REF!</v>
      </c>
      <c r="V25" s="212" t="e">
        <f aca="false">V17*DEBTPERC</f>
        <v>#REF!</v>
      </c>
      <c r="W25" s="212" t="e">
        <f aca="false">W17*DEBTPERC</f>
        <v>#REF!</v>
      </c>
      <c r="X25" s="212" t="e">
        <f aca="false">X17*DEBTPERC</f>
        <v>#REF!</v>
      </c>
      <c r="Y25" s="212" t="e">
        <f aca="false">Y17*DEBTPERC</f>
        <v>#REF!</v>
      </c>
      <c r="Z25" s="212" t="e">
        <f aca="false">Z17*DEBTPERC</f>
        <v>#REF!</v>
      </c>
      <c r="AA25" s="212" t="e">
        <f aca="false">AA17*DEBTPERC</f>
        <v>#REF!</v>
      </c>
      <c r="AB25" s="212" t="e">
        <f aca="false">AB17*DEBTPERC</f>
        <v>#REF!</v>
      </c>
      <c r="AC25" s="212" t="e">
        <f aca="false">AC17*DEBTPERC</f>
        <v>#REF!</v>
      </c>
      <c r="AD25" s="212" t="e">
        <f aca="false">AD17*DEBTPERC</f>
        <v>#REF!</v>
      </c>
      <c r="AE25" s="212" t="e">
        <f aca="false">AE17*DEBTPERC</f>
        <v>#REF!</v>
      </c>
      <c r="AF25" s="212" t="e">
        <f aca="false">AF17*DEBTPERC</f>
        <v>#REF!</v>
      </c>
      <c r="AG25" s="212" t="e">
        <f aca="false">AG17*DEBTPERC</f>
        <v>#REF!</v>
      </c>
      <c r="AH25" s="212" t="e">
        <f aca="false">AH17*DEBTPERC</f>
        <v>#REF!</v>
      </c>
      <c r="AI25" s="212" t="e">
        <f aca="false">AI17*DEBTPERC</f>
        <v>#REF!</v>
      </c>
      <c r="AJ25" s="212" t="e">
        <f aca="false">AJ17*DEBTPERC</f>
        <v>#REF!</v>
      </c>
      <c r="AK25" s="212" t="e">
        <f aca="false">AK17*DEBTPERC</f>
        <v>#REF!</v>
      </c>
      <c r="AL25" s="212" t="e">
        <f aca="false">AL17*DEBTPERC</f>
        <v>#REF!</v>
      </c>
      <c r="AM25" s="212" t="e">
        <f aca="false">AM17*DEBTPERC</f>
        <v>#REF!</v>
      </c>
      <c r="AN25" s="76" t="e">
        <f aca="false">AN17*DEBTPERC</f>
        <v>#REF!</v>
      </c>
      <c r="AO25" s="207"/>
      <c r="AP25" s="1" t="n">
        <f aca="false">AP24+1</f>
        <v>19</v>
      </c>
    </row>
    <row r="26" customFormat="false" ht="12.75" hidden="false" customHeight="false" outlineLevel="0" collapsed="false">
      <c r="A26" s="29" t="s">
        <v>317</v>
      </c>
      <c r="B26" s="30"/>
      <c r="C26" s="30"/>
      <c r="D26" s="30"/>
      <c r="E26" s="212" t="e">
        <f aca="false">E18*DEBTPERC</f>
        <v>#REF!</v>
      </c>
      <c r="F26" s="212" t="e">
        <f aca="false">F18*DEBTPERC</f>
        <v>#REF!</v>
      </c>
      <c r="G26" s="212" t="e">
        <f aca="false">G18*DEBTPERC</f>
        <v>#REF!</v>
      </c>
      <c r="H26" s="212" t="e">
        <f aca="false">H18*DEBTPERC</f>
        <v>#REF!</v>
      </c>
      <c r="I26" s="212" t="e">
        <f aca="false">I18*DEBTPERC</f>
        <v>#REF!</v>
      </c>
      <c r="J26" s="212" t="e">
        <f aca="false">J18*DEBTPERC</f>
        <v>#REF!</v>
      </c>
      <c r="K26" s="212" t="e">
        <f aca="false">K18*DEBTPERC</f>
        <v>#REF!</v>
      </c>
      <c r="L26" s="212" t="e">
        <f aca="false">L18*DEBTPERC</f>
        <v>#REF!</v>
      </c>
      <c r="M26" s="212" t="e">
        <f aca="false">M18*DEBTPERC</f>
        <v>#REF!</v>
      </c>
      <c r="N26" s="212" t="e">
        <f aca="false">N18*DEBTPERC</f>
        <v>#REF!</v>
      </c>
      <c r="O26" s="212" t="e">
        <f aca="false">O18*DEBTPERC</f>
        <v>#REF!</v>
      </c>
      <c r="P26" s="212" t="e">
        <f aca="false">P18*DEBTPERC</f>
        <v>#REF!</v>
      </c>
      <c r="Q26" s="212" t="e">
        <f aca="false">Q18*DEBTPERC</f>
        <v>#REF!</v>
      </c>
      <c r="R26" s="212" t="e">
        <f aca="false">R18*DEBTPERC</f>
        <v>#REF!</v>
      </c>
      <c r="S26" s="212" t="e">
        <f aca="false">S18*DEBTPERC</f>
        <v>#REF!</v>
      </c>
      <c r="T26" s="212" t="e">
        <f aca="false">T18*DEBTPERC</f>
        <v>#REF!</v>
      </c>
      <c r="U26" s="212" t="e">
        <f aca="false">U18*DEBTPERC</f>
        <v>#REF!</v>
      </c>
      <c r="V26" s="212" t="e">
        <f aca="false">V18*DEBTPERC</f>
        <v>#REF!</v>
      </c>
      <c r="W26" s="212" t="e">
        <f aca="false">W18*DEBTPERC</f>
        <v>#REF!</v>
      </c>
      <c r="X26" s="212" t="e">
        <f aca="false">X18*DEBTPERC</f>
        <v>#REF!</v>
      </c>
      <c r="Y26" s="212" t="e">
        <f aca="false">Y18*DEBTPERC</f>
        <v>#REF!</v>
      </c>
      <c r="Z26" s="212" t="e">
        <f aca="false">Z18*DEBTPERC</f>
        <v>#REF!</v>
      </c>
      <c r="AA26" s="212" t="e">
        <f aca="false">AA18*DEBTPERC</f>
        <v>#REF!</v>
      </c>
      <c r="AB26" s="212" t="e">
        <f aca="false">AB18*DEBTPERC</f>
        <v>#REF!</v>
      </c>
      <c r="AC26" s="212" t="e">
        <f aca="false">AC18*DEBTPERC</f>
        <v>#REF!</v>
      </c>
      <c r="AD26" s="212" t="e">
        <f aca="false">AD18*DEBTPERC</f>
        <v>#REF!</v>
      </c>
      <c r="AE26" s="212" t="e">
        <f aca="false">AE18*DEBTPERC</f>
        <v>#REF!</v>
      </c>
      <c r="AF26" s="212" t="e">
        <f aca="false">AF18*DEBTPERC</f>
        <v>#REF!</v>
      </c>
      <c r="AG26" s="212" t="e">
        <f aca="false">AG18*DEBTPERC</f>
        <v>#REF!</v>
      </c>
      <c r="AH26" s="212" t="e">
        <f aca="false">AH18*DEBTPERC</f>
        <v>#REF!</v>
      </c>
      <c r="AI26" s="212" t="e">
        <f aca="false">AI18*DEBTPERC</f>
        <v>#REF!</v>
      </c>
      <c r="AJ26" s="212" t="e">
        <f aca="false">AJ18*DEBTPERC</f>
        <v>#REF!</v>
      </c>
      <c r="AK26" s="212" t="e">
        <f aca="false">AK18*DEBTPERC</f>
        <v>#REF!</v>
      </c>
      <c r="AL26" s="212" t="e">
        <f aca="false">AL18*DEBTPERC</f>
        <v>#REF!</v>
      </c>
      <c r="AM26" s="212" t="e">
        <f aca="false">AM18*DEBTPERC</f>
        <v>#REF!</v>
      </c>
      <c r="AN26" s="76" t="e">
        <f aca="false">AN18*DEBTPERC</f>
        <v>#REF!</v>
      </c>
      <c r="AO26" s="213" t="e">
        <f aca="false">SUM(E26:AN26)</f>
        <v>#REF!</v>
      </c>
      <c r="AP26" s="1" t="n">
        <f aca="false">AP25+1</f>
        <v>20</v>
      </c>
    </row>
    <row r="27" customFormat="false" ht="12.75" hidden="false" customHeight="false" outlineLevel="0" collapsed="false">
      <c r="A27" s="29" t="s">
        <v>318</v>
      </c>
      <c r="B27" s="30"/>
      <c r="C27" s="30"/>
      <c r="D27" s="30"/>
      <c r="E27" s="215" t="e">
        <f aca="false">E19*DEBTPERC</f>
        <v>#REF!</v>
      </c>
      <c r="F27" s="215" t="e">
        <f aca="false">F19*DEBTPERC</f>
        <v>#REF!</v>
      </c>
      <c r="G27" s="215" t="e">
        <f aca="false">G19*DEBTPERC</f>
        <v>#REF!</v>
      </c>
      <c r="H27" s="215" t="e">
        <f aca="false">H19*DEBTPERC</f>
        <v>#REF!</v>
      </c>
      <c r="I27" s="215" t="e">
        <f aca="false">I19*DEBTPERC</f>
        <v>#REF!</v>
      </c>
      <c r="J27" s="215" t="e">
        <f aca="false">J19*DEBTPERC</f>
        <v>#REF!</v>
      </c>
      <c r="K27" s="215" t="n">
        <f aca="false">K19*DEBTPERC</f>
        <v>0</v>
      </c>
      <c r="L27" s="215" t="n">
        <f aca="false">L19*DEBTPERC</f>
        <v>0</v>
      </c>
      <c r="M27" s="215" t="n">
        <f aca="false">M19*DEBTPERC</f>
        <v>0</v>
      </c>
      <c r="N27" s="215" t="n">
        <f aca="false">N19*DEBTPERC</f>
        <v>0</v>
      </c>
      <c r="O27" s="215" t="n">
        <f aca="false">O19*DEBTPERC</f>
        <v>0</v>
      </c>
      <c r="P27" s="215" t="n">
        <f aca="false">P19*DEBTPERC</f>
        <v>0</v>
      </c>
      <c r="Q27" s="215" t="n">
        <f aca="false">Q19*DEBTPERC</f>
        <v>0</v>
      </c>
      <c r="R27" s="215" t="n">
        <f aca="false">R19*DEBTPERC</f>
        <v>0</v>
      </c>
      <c r="S27" s="215" t="n">
        <f aca="false">S19*DEBTPERC</f>
        <v>0</v>
      </c>
      <c r="T27" s="215" t="n">
        <f aca="false">T19*DEBTPERC</f>
        <v>0</v>
      </c>
      <c r="U27" s="215" t="n">
        <f aca="false">U19*DEBTPERC</f>
        <v>0</v>
      </c>
      <c r="V27" s="215" t="n">
        <f aca="false">V19*DEBTPERC</f>
        <v>0</v>
      </c>
      <c r="W27" s="215" t="n">
        <f aca="false">W19*DEBTPERC</f>
        <v>0</v>
      </c>
      <c r="X27" s="215" t="n">
        <f aca="false">X19*DEBTPERC</f>
        <v>0</v>
      </c>
      <c r="Y27" s="215" t="n">
        <f aca="false">Y19*DEBTPERC</f>
        <v>0</v>
      </c>
      <c r="Z27" s="215" t="n">
        <f aca="false">Z19*DEBTPERC</f>
        <v>0</v>
      </c>
      <c r="AA27" s="215" t="n">
        <f aca="false">AA19*DEBTPERC</f>
        <v>0</v>
      </c>
      <c r="AB27" s="215" t="n">
        <f aca="false">AB19*DEBTPERC</f>
        <v>0</v>
      </c>
      <c r="AC27" s="215" t="n">
        <f aca="false">AC19*DEBTPERC</f>
        <v>0</v>
      </c>
      <c r="AD27" s="215" t="n">
        <f aca="false">AD19*DEBTPERC</f>
        <v>0</v>
      </c>
      <c r="AE27" s="215" t="n">
        <f aca="false">AE19*DEBTPERC</f>
        <v>0</v>
      </c>
      <c r="AF27" s="215" t="n">
        <f aca="false">AF19*DEBTPERC</f>
        <v>0</v>
      </c>
      <c r="AG27" s="215" t="n">
        <f aca="false">AG19*DEBTPERC</f>
        <v>0</v>
      </c>
      <c r="AH27" s="215" t="n">
        <f aca="false">AH19*DEBTPERC</f>
        <v>0</v>
      </c>
      <c r="AI27" s="215" t="n">
        <f aca="false">AI19*DEBTPERC</f>
        <v>0</v>
      </c>
      <c r="AJ27" s="215" t="n">
        <f aca="false">AJ19*DEBTPERC</f>
        <v>0</v>
      </c>
      <c r="AK27" s="215" t="n">
        <f aca="false">AK19*DEBTPERC</f>
        <v>0</v>
      </c>
      <c r="AL27" s="215" t="n">
        <f aca="false">AL19*DEBTPERC</f>
        <v>0</v>
      </c>
      <c r="AM27" s="215" t="n">
        <f aca="false">AM19*DEBTPERC</f>
        <v>0</v>
      </c>
      <c r="AN27" s="306" t="n">
        <f aca="false">AN19*DEBTPERC</f>
        <v>0</v>
      </c>
      <c r="AO27" s="213" t="e">
        <f aca="false">SUM(E27:AN27)</f>
        <v>#REF!</v>
      </c>
      <c r="AP27" s="1" t="n">
        <f aca="false">AP26+1</f>
        <v>21</v>
      </c>
    </row>
    <row r="28" customFormat="false" ht="12.75" hidden="false" customHeight="false" outlineLevel="0" collapsed="false">
      <c r="A28" s="29" t="s">
        <v>319</v>
      </c>
      <c r="B28" s="30"/>
      <c r="C28" s="30"/>
      <c r="D28" s="30"/>
      <c r="E28" s="212" t="e">
        <f aca="false">SUM(E25:E27)</f>
        <v>#REF!</v>
      </c>
      <c r="F28" s="212" t="e">
        <f aca="false">SUM(F25:F27)</f>
        <v>#REF!</v>
      </c>
      <c r="G28" s="212" t="e">
        <f aca="false">SUM(G25:G27)</f>
        <v>#REF!</v>
      </c>
      <c r="H28" s="212" t="e">
        <f aca="false">SUM(H25:H27)</f>
        <v>#REF!</v>
      </c>
      <c r="I28" s="212" t="e">
        <f aca="false">SUM(I25:I27)</f>
        <v>#REF!</v>
      </c>
      <c r="J28" s="212" t="e">
        <f aca="false">SUM(J25:J27)</f>
        <v>#REF!</v>
      </c>
      <c r="K28" s="212" t="e">
        <f aca="false">SUM(K25:K27)</f>
        <v>#REF!</v>
      </c>
      <c r="L28" s="212" t="e">
        <f aca="false">SUM(L25:L27)</f>
        <v>#REF!</v>
      </c>
      <c r="M28" s="212" t="e">
        <f aca="false">SUM(M25:M27)</f>
        <v>#REF!</v>
      </c>
      <c r="N28" s="212" t="e">
        <f aca="false">SUM(N25:N27)</f>
        <v>#REF!</v>
      </c>
      <c r="O28" s="212" t="e">
        <f aca="false">SUM(O25:O27)</f>
        <v>#REF!</v>
      </c>
      <c r="P28" s="212" t="e">
        <f aca="false">SUM(P25:P27)</f>
        <v>#REF!</v>
      </c>
      <c r="Q28" s="212" t="e">
        <f aca="false">SUM(Q25:Q27)</f>
        <v>#REF!</v>
      </c>
      <c r="R28" s="212" t="e">
        <f aca="false">SUM(R25:R27)</f>
        <v>#REF!</v>
      </c>
      <c r="S28" s="212" t="e">
        <f aca="false">SUM(S25:S27)</f>
        <v>#REF!</v>
      </c>
      <c r="T28" s="212" t="e">
        <f aca="false">SUM(T25:T27)</f>
        <v>#REF!</v>
      </c>
      <c r="U28" s="212" t="e">
        <f aca="false">SUM(U25:U27)</f>
        <v>#REF!</v>
      </c>
      <c r="V28" s="212" t="e">
        <f aca="false">SUM(V25:V27)</f>
        <v>#REF!</v>
      </c>
      <c r="W28" s="212" t="e">
        <f aca="false">SUM(W25:W27)</f>
        <v>#REF!</v>
      </c>
      <c r="X28" s="212" t="e">
        <f aca="false">SUM(X25:X27)</f>
        <v>#REF!</v>
      </c>
      <c r="Y28" s="212" t="e">
        <f aca="false">SUM(Y25:Y27)</f>
        <v>#REF!</v>
      </c>
      <c r="Z28" s="212" t="e">
        <f aca="false">SUM(Z25:Z27)</f>
        <v>#REF!</v>
      </c>
      <c r="AA28" s="212" t="e">
        <f aca="false">SUM(AA25:AA27)</f>
        <v>#REF!</v>
      </c>
      <c r="AB28" s="212" t="e">
        <f aca="false">SUM(AB25:AB27)</f>
        <v>#REF!</v>
      </c>
      <c r="AC28" s="212" t="e">
        <f aca="false">SUM(AC25:AC27)</f>
        <v>#REF!</v>
      </c>
      <c r="AD28" s="212" t="e">
        <f aca="false">SUM(AD25:AD27)</f>
        <v>#REF!</v>
      </c>
      <c r="AE28" s="212" t="e">
        <f aca="false">SUM(AE25:AE27)</f>
        <v>#REF!</v>
      </c>
      <c r="AF28" s="212" t="e">
        <f aca="false">SUM(AF25:AF27)</f>
        <v>#REF!</v>
      </c>
      <c r="AG28" s="212" t="e">
        <f aca="false">SUM(AG25:AG27)</f>
        <v>#REF!</v>
      </c>
      <c r="AH28" s="212" t="e">
        <f aca="false">SUM(AH25:AH27)</f>
        <v>#REF!</v>
      </c>
      <c r="AI28" s="212" t="e">
        <f aca="false">SUM(AI25:AI27)</f>
        <v>#REF!</v>
      </c>
      <c r="AJ28" s="212" t="e">
        <f aca="false">SUM(AJ25:AJ27)</f>
        <v>#REF!</v>
      </c>
      <c r="AK28" s="212" t="e">
        <f aca="false">SUM(AK25:AK27)</f>
        <v>#REF!</v>
      </c>
      <c r="AL28" s="212" t="e">
        <f aca="false">SUM(AL25:AL27)</f>
        <v>#REF!</v>
      </c>
      <c r="AM28" s="212" t="e">
        <f aca="false">SUM(AM25:AM27)</f>
        <v>#REF!</v>
      </c>
      <c r="AN28" s="76" t="e">
        <f aca="false">SUM(AN25:AN27)</f>
        <v>#REF!</v>
      </c>
      <c r="AO28" s="207"/>
      <c r="AP28" s="1" t="n">
        <f aca="false">AP27+1</f>
        <v>22</v>
      </c>
    </row>
    <row r="29" customFormat="false" ht="12.75" hidden="false" customHeight="false" outlineLevel="0" collapsed="false">
      <c r="A29" s="29"/>
      <c r="B29" s="30"/>
      <c r="C29" s="30"/>
      <c r="D29" s="30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76"/>
      <c r="AO29" s="207"/>
      <c r="AP29" s="1" t="n">
        <f aca="false">AP28+1</f>
        <v>23</v>
      </c>
    </row>
    <row r="30" customFormat="false" ht="12.75" hidden="false" customHeight="false" outlineLevel="0" collapsed="false">
      <c r="A30" s="35" t="s">
        <v>320</v>
      </c>
      <c r="B30" s="91"/>
      <c r="C30" s="91"/>
      <c r="D30" s="91"/>
      <c r="E30" s="217" t="e">
        <f aca="false">IF(E6&gt;ASS!$E$16,0,(E25+SUM(E25:E26))/2*$D$12/12)</f>
        <v>#REF!</v>
      </c>
      <c r="F30" s="217" t="e">
        <f aca="false">IF(F6&gt;ASS!$E$16,0,(F25+SUM(F25:F26))/2*$D$12/12)</f>
        <v>#REF!</v>
      </c>
      <c r="G30" s="217" t="e">
        <f aca="false">IF(G6&gt;ASS!$E$16,0,(G25+SUM(G25:G26))/2*$D$12/12)</f>
        <v>#REF!</v>
      </c>
      <c r="H30" s="217" t="e">
        <f aca="false">IF(H6&gt;ASS!$E$16,0,(H25+SUM(H25:H26))/2*$D$12/12)</f>
        <v>#REF!</v>
      </c>
      <c r="I30" s="217" t="e">
        <f aca="false">IF(I6&gt;ASS!$E$16,0,(I25+SUM(I25:I26))/2*$D$12/12)</f>
        <v>#REF!</v>
      </c>
      <c r="J30" s="217" t="e">
        <f aca="false">IF(J6&gt;ASS!$E$16,0,(J25+SUM(J25:J26))/2*$D$12/12)</f>
        <v>#REF!</v>
      </c>
      <c r="K30" s="217" t="n">
        <f aca="false">IF(K6&gt;ASS!$E$16,0,(K25+SUM(K25:K26))/2*$D$12/12)</f>
        <v>0</v>
      </c>
      <c r="L30" s="217" t="n">
        <f aca="false">IF(L6&gt;ASS!$E$16,0,(L25+SUM(L25:L26))/2*$D$12/12)</f>
        <v>0</v>
      </c>
      <c r="M30" s="217" t="n">
        <f aca="false">IF(M6&gt;ASS!$E$16,0,(M25+SUM(M25:M26))/2*$D$12/12)</f>
        <v>0</v>
      </c>
      <c r="N30" s="217" t="n">
        <f aca="false">IF(N6&gt;ASS!$E$16,0,(N25+SUM(N25:N26))/2*$D$12/12)</f>
        <v>0</v>
      </c>
      <c r="O30" s="217" t="n">
        <f aca="false">IF(O6&gt;ASS!$E$16,0,(O25+SUM(O25:O26))/2*$D$12/12)</f>
        <v>0</v>
      </c>
      <c r="P30" s="217" t="n">
        <f aca="false">IF(P6&gt;ASS!$E$16,0,(P25+SUM(P25:P26))/2*$D$12/12)</f>
        <v>0</v>
      </c>
      <c r="Q30" s="217" t="n">
        <f aca="false">IF(Q6&gt;ASS!$E$16,0,(Q25+SUM(Q25:Q26))/2*$D$12/12)</f>
        <v>0</v>
      </c>
      <c r="R30" s="217" t="n">
        <f aca="false">IF(R6&gt;ASS!$E$16,0,(R25+SUM(R25:R26))/2*$D$12/12)</f>
        <v>0</v>
      </c>
      <c r="S30" s="217" t="n">
        <f aca="false">IF(S6&gt;ASS!$E$16,0,(S25+SUM(S25:S26))/2*$D$12/12)</f>
        <v>0</v>
      </c>
      <c r="T30" s="217" t="n">
        <f aca="false">IF(T6&gt;ASS!$E$16,0,(T25+SUM(T25:T26))/2*$D$12/12)</f>
        <v>0</v>
      </c>
      <c r="U30" s="217" t="n">
        <f aca="false">IF(U6&gt;ASS!$E$16,0,(U25+SUM(U25:U26))/2*$D$12/12)</f>
        <v>0</v>
      </c>
      <c r="V30" s="217" t="n">
        <f aca="false">IF(V6&gt;ASS!$E$16,0,(V25+SUM(V25:V26))/2*$D$12/12)</f>
        <v>0</v>
      </c>
      <c r="W30" s="217" t="n">
        <f aca="false">IF(W6&gt;ASS!$E$16,0,(W25+SUM(W25:W26))/2*$D$12/12)</f>
        <v>0</v>
      </c>
      <c r="X30" s="217" t="n">
        <f aca="false">IF(X6&gt;ASS!$E$16,0,(X25+SUM(X25:X26))/2*$D$12/12)</f>
        <v>0</v>
      </c>
      <c r="Y30" s="217" t="n">
        <f aca="false">IF(Y6&gt;ASS!$E$16,0,(Y25+SUM(Y25:Y26))/2*$D$12/12)</f>
        <v>0</v>
      </c>
      <c r="Z30" s="217" t="n">
        <f aca="false">IF(Z6&gt;ASS!$E$16,0,(Z25+SUM(Z25:Z26))/2*$D$12/12)</f>
        <v>0</v>
      </c>
      <c r="AA30" s="217" t="n">
        <f aca="false">IF(AA6&gt;ASS!$E$16,0,(AA25+SUM(AA25:AA26))/2*$D$12/12)</f>
        <v>0</v>
      </c>
      <c r="AB30" s="217" t="n">
        <f aca="false">IF(AB6&gt;ASS!$E$16,0,(AB25+SUM(AB25:AB26))/2*$D$12/12)</f>
        <v>0</v>
      </c>
      <c r="AC30" s="217" t="n">
        <f aca="false">IF(AC6&gt;ASS!$E$16,0,(AC25+SUM(AC25:AC26))/2*$D$12/12)</f>
        <v>0</v>
      </c>
      <c r="AD30" s="217" t="n">
        <f aca="false">IF(AD6&gt;ASS!$E$16,0,(AD25+SUM(AD25:AD26))/2*$D$12/12)</f>
        <v>0</v>
      </c>
      <c r="AE30" s="217" t="n">
        <f aca="false">IF(AE6&gt;ASS!$E$16,0,(AE25+SUM(AE25:AE26))/2*$D$12/12)</f>
        <v>0</v>
      </c>
      <c r="AF30" s="217" t="n">
        <f aca="false">IF(AF6&gt;ASS!$E$16,0,(AF25+SUM(AF25:AF26))/2*$D$12/12)</f>
        <v>0</v>
      </c>
      <c r="AG30" s="217" t="n">
        <f aca="false">IF(AG6&gt;ASS!$E$16,0,(AG25+SUM(AG25:AG26))/2*$D$12/12)</f>
        <v>0</v>
      </c>
      <c r="AH30" s="217" t="n">
        <f aca="false">IF(AH6&gt;ASS!$E$16,0,(AH25+SUM(AH25:AH26))/2*$D$12/12)</f>
        <v>0</v>
      </c>
      <c r="AI30" s="217" t="n">
        <f aca="false">IF(AI6&gt;ASS!$E$16,0,(AI25+SUM(AI25:AI26))/2*$D$12/12)</f>
        <v>0</v>
      </c>
      <c r="AJ30" s="217" t="n">
        <f aca="false">IF(AJ6&gt;ASS!$E$16,0,(AJ25+SUM(AJ25:AJ26))/2*$D$12/12)</f>
        <v>0</v>
      </c>
      <c r="AK30" s="217" t="n">
        <f aca="false">IF(AK6&gt;ASS!$E$16,0,(AK25+SUM(AK25:AK26))/2*$D$12/12)</f>
        <v>0</v>
      </c>
      <c r="AL30" s="217" t="n">
        <f aca="false">IF(AL6&gt;ASS!$E$16,0,(AL25+SUM(AL25:AL26))/2*$D$12/12)</f>
        <v>0</v>
      </c>
      <c r="AM30" s="217" t="n">
        <f aca="false">IF(AM6&gt;ASS!$E$16,0,(AM25+SUM(AM25:AM26))/2*$D$12/12)</f>
        <v>0</v>
      </c>
      <c r="AN30" s="354" t="n">
        <f aca="false">IF(AN6&gt;ASS!$E$16,0,(AN25+SUM(AN25:AN26))/2*$D$12/12)</f>
        <v>0</v>
      </c>
      <c r="AO30" s="359" t="e">
        <f aca="false">SUM(E30:AN30)</f>
        <v>#REF!</v>
      </c>
      <c r="AP30" s="1" t="n">
        <f aca="false">AP29+1</f>
        <v>24</v>
      </c>
    </row>
    <row r="31" customFormat="false" ht="12.75" hidden="false" customHeight="false" outlineLevel="0" collapsed="false">
      <c r="A31" s="35" t="s">
        <v>321</v>
      </c>
      <c r="B31" s="91"/>
      <c r="C31" s="91"/>
      <c r="D31" s="91"/>
      <c r="E31" s="217" t="e">
        <f aca="false">D31+E30</f>
        <v>#REF!</v>
      </c>
      <c r="F31" s="217" t="e">
        <f aca="false">E31+F30</f>
        <v>#REF!</v>
      </c>
      <c r="G31" s="217" t="e">
        <f aca="false">F31+G30</f>
        <v>#REF!</v>
      </c>
      <c r="H31" s="217" t="e">
        <f aca="false">G31+H30</f>
        <v>#REF!</v>
      </c>
      <c r="I31" s="217" t="e">
        <f aca="false">H31+I30</f>
        <v>#REF!</v>
      </c>
      <c r="J31" s="217" t="e">
        <f aca="false">I31+J30</f>
        <v>#REF!</v>
      </c>
      <c r="K31" s="217" t="e">
        <f aca="false">J31+K30</f>
        <v>#REF!</v>
      </c>
      <c r="L31" s="217" t="e">
        <f aca="false">K31+L30</f>
        <v>#REF!</v>
      </c>
      <c r="M31" s="217" t="e">
        <f aca="false">L31+M30</f>
        <v>#REF!</v>
      </c>
      <c r="N31" s="217" t="e">
        <f aca="false">M31+N30</f>
        <v>#REF!</v>
      </c>
      <c r="O31" s="217" t="e">
        <f aca="false">N31+O30</f>
        <v>#REF!</v>
      </c>
      <c r="P31" s="217" t="e">
        <f aca="false">O31+P30</f>
        <v>#REF!</v>
      </c>
      <c r="Q31" s="217" t="e">
        <f aca="false">P31+Q30</f>
        <v>#REF!</v>
      </c>
      <c r="R31" s="217" t="e">
        <f aca="false">Q31+R30</f>
        <v>#REF!</v>
      </c>
      <c r="S31" s="217" t="e">
        <f aca="false">R31+S30</f>
        <v>#REF!</v>
      </c>
      <c r="T31" s="217" t="e">
        <f aca="false">S31+T30</f>
        <v>#REF!</v>
      </c>
      <c r="U31" s="217" t="e">
        <f aca="false">T31+U30</f>
        <v>#REF!</v>
      </c>
      <c r="V31" s="217" t="e">
        <f aca="false">U31+V30</f>
        <v>#REF!</v>
      </c>
      <c r="W31" s="217" t="e">
        <f aca="false">V31+W30</f>
        <v>#REF!</v>
      </c>
      <c r="X31" s="217" t="e">
        <f aca="false">W31+X30</f>
        <v>#REF!</v>
      </c>
      <c r="Y31" s="217" t="e">
        <f aca="false">X31+Y30</f>
        <v>#REF!</v>
      </c>
      <c r="Z31" s="217" t="e">
        <f aca="false">Y31+Z30</f>
        <v>#REF!</v>
      </c>
      <c r="AA31" s="217" t="e">
        <f aca="false">Z31+AA30</f>
        <v>#REF!</v>
      </c>
      <c r="AB31" s="217" t="e">
        <f aca="false">AA31+AB30</f>
        <v>#REF!</v>
      </c>
      <c r="AC31" s="217" t="e">
        <f aca="false">AB31+AC30</f>
        <v>#REF!</v>
      </c>
      <c r="AD31" s="217" t="e">
        <f aca="false">AC31+AD30</f>
        <v>#REF!</v>
      </c>
      <c r="AE31" s="217" t="e">
        <f aca="false">AD31+AE30</f>
        <v>#REF!</v>
      </c>
      <c r="AF31" s="217" t="e">
        <f aca="false">AE31+AF30</f>
        <v>#REF!</v>
      </c>
      <c r="AG31" s="217" t="e">
        <f aca="false">AF31+AG30</f>
        <v>#REF!</v>
      </c>
      <c r="AH31" s="217" t="e">
        <f aca="false">AG31+AH30</f>
        <v>#REF!</v>
      </c>
      <c r="AI31" s="217" t="e">
        <f aca="false">AH31+AI30</f>
        <v>#REF!</v>
      </c>
      <c r="AJ31" s="217" t="e">
        <f aca="false">AI31+AJ30</f>
        <v>#REF!</v>
      </c>
      <c r="AK31" s="217" t="e">
        <f aca="false">AJ31+AK30</f>
        <v>#REF!</v>
      </c>
      <c r="AL31" s="217" t="e">
        <f aca="false">AK31+AL30</f>
        <v>#REF!</v>
      </c>
      <c r="AM31" s="217" t="e">
        <f aca="false">AL31+AM30</f>
        <v>#REF!</v>
      </c>
      <c r="AN31" s="217" t="e">
        <f aca="false">AM31+AN30</f>
        <v>#REF!</v>
      </c>
      <c r="AO31" s="359"/>
      <c r="AP31" s="1" t="n">
        <f aca="false">AP30+1</f>
        <v>25</v>
      </c>
    </row>
    <row r="32" customFormat="false" ht="12.75" hidden="false" customHeight="false" outlineLevel="0" collapsed="false">
      <c r="A32" s="35" t="s">
        <v>322</v>
      </c>
      <c r="B32" s="91"/>
      <c r="C32" s="91"/>
      <c r="D32" s="91"/>
      <c r="E32" s="217" t="e">
        <f aca="false">(#REF!/(1-#REF!))*IDC!E30</f>
        <v>#REF!</v>
      </c>
      <c r="F32" s="217" t="e">
        <f aca="false">(#REF!/(1-#REF!))*IDC!F30</f>
        <v>#REF!</v>
      </c>
      <c r="G32" s="217" t="e">
        <f aca="false">(#REF!/(1-#REF!))*IDC!G30</f>
        <v>#REF!</v>
      </c>
      <c r="H32" s="217" t="e">
        <f aca="false">(#REF!/(1-#REF!))*IDC!H30</f>
        <v>#REF!</v>
      </c>
      <c r="I32" s="217" t="e">
        <f aca="false">(#REF!/(1-#REF!))*IDC!I30</f>
        <v>#REF!</v>
      </c>
      <c r="J32" s="217" t="e">
        <f aca="false">(#REF!/(1-#REF!))*IDC!J30</f>
        <v>#REF!</v>
      </c>
      <c r="K32" s="217" t="e">
        <f aca="false">(#REF!/(1-#REF!))*IDC!K30</f>
        <v>#REF!</v>
      </c>
      <c r="L32" s="217" t="e">
        <f aca="false">(#REF!/(1-#REF!))*IDC!L30</f>
        <v>#REF!</v>
      </c>
      <c r="M32" s="217" t="e">
        <f aca="false">(#REF!/(1-#REF!))*IDC!M30</f>
        <v>#REF!</v>
      </c>
      <c r="N32" s="217" t="e">
        <f aca="false">(#REF!/(1-#REF!))*IDC!N30</f>
        <v>#REF!</v>
      </c>
      <c r="O32" s="217" t="e">
        <f aca="false">(#REF!/(1-#REF!))*IDC!O30</f>
        <v>#REF!</v>
      </c>
      <c r="P32" s="217" t="e">
        <f aca="false">(#REF!/(1-#REF!))*IDC!P30</f>
        <v>#REF!</v>
      </c>
      <c r="Q32" s="217" t="e">
        <f aca="false">(#REF!/(1-#REF!))*IDC!Q30</f>
        <v>#REF!</v>
      </c>
      <c r="R32" s="217" t="e">
        <f aca="false">(#REF!/(1-#REF!))*IDC!R30</f>
        <v>#REF!</v>
      </c>
      <c r="S32" s="217" t="e">
        <f aca="false">(#REF!/(1-#REF!))*IDC!S30</f>
        <v>#REF!</v>
      </c>
      <c r="T32" s="217" t="e">
        <f aca="false">(#REF!/(1-#REF!))*IDC!T30</f>
        <v>#REF!</v>
      </c>
      <c r="U32" s="217" t="e">
        <f aca="false">(#REF!/(1-#REF!))*IDC!U30</f>
        <v>#REF!</v>
      </c>
      <c r="V32" s="217" t="e">
        <f aca="false">(#REF!/(1-#REF!))*IDC!V30</f>
        <v>#REF!</v>
      </c>
      <c r="W32" s="217" t="e">
        <f aca="false">(#REF!/(1-#REF!))*IDC!W30</f>
        <v>#REF!</v>
      </c>
      <c r="X32" s="217" t="e">
        <f aca="false">(#REF!/(1-#REF!))*IDC!X30</f>
        <v>#REF!</v>
      </c>
      <c r="Y32" s="217" t="e">
        <f aca="false">(#REF!/(1-#REF!))*IDC!Y30</f>
        <v>#REF!</v>
      </c>
      <c r="Z32" s="217" t="e">
        <f aca="false">(#REF!/(1-#REF!))*IDC!Z30</f>
        <v>#REF!</v>
      </c>
      <c r="AA32" s="217" t="e">
        <f aca="false">(#REF!/(1-#REF!))*IDC!AA30</f>
        <v>#REF!</v>
      </c>
      <c r="AB32" s="217" t="e">
        <f aca="false">(#REF!/(1-#REF!))*IDC!AB30</f>
        <v>#REF!</v>
      </c>
      <c r="AC32" s="217" t="e">
        <f aca="false">(#REF!/(1-#REF!))*IDC!AC30</f>
        <v>#REF!</v>
      </c>
      <c r="AD32" s="217" t="e">
        <f aca="false">(#REF!/(1-#REF!))*IDC!AD30</f>
        <v>#REF!</v>
      </c>
      <c r="AE32" s="217" t="e">
        <f aca="false">(#REF!/(1-#REF!))*IDC!AE30</f>
        <v>#REF!</v>
      </c>
      <c r="AF32" s="217" t="e">
        <f aca="false">(#REF!/(1-#REF!))*IDC!AF30</f>
        <v>#REF!</v>
      </c>
      <c r="AG32" s="217" t="e">
        <f aca="false">(#REF!/(1-#REF!))*IDC!AG30</f>
        <v>#REF!</v>
      </c>
      <c r="AH32" s="217" t="e">
        <f aca="false">(#REF!/(1-#REF!))*IDC!AH30</f>
        <v>#REF!</v>
      </c>
      <c r="AI32" s="217" t="e">
        <f aca="false">(#REF!/(1-#REF!))*IDC!AI30</f>
        <v>#REF!</v>
      </c>
      <c r="AJ32" s="217" t="e">
        <f aca="false">(#REF!/(1-#REF!))*IDC!AJ30</f>
        <v>#REF!</v>
      </c>
      <c r="AK32" s="217" t="e">
        <f aca="false">(#REF!/(1-#REF!))*IDC!AK30</f>
        <v>#REF!</v>
      </c>
      <c r="AL32" s="217" t="e">
        <f aca="false">(#REF!/(1-#REF!))*IDC!AL30</f>
        <v>#REF!</v>
      </c>
      <c r="AM32" s="217" t="e">
        <f aca="false">(#REF!/(1-#REF!))*IDC!AM30</f>
        <v>#REF!</v>
      </c>
      <c r="AN32" s="217" t="e">
        <f aca="false">(#REF!/(1-#REF!))*IDC!AN30</f>
        <v>#REF!</v>
      </c>
      <c r="AO32" s="359" t="e">
        <f aca="false">SUM(E32:AN32)</f>
        <v>#REF!</v>
      </c>
      <c r="AP32" s="1" t="n">
        <f aca="false">AP31+1</f>
        <v>26</v>
      </c>
    </row>
    <row r="33" customFormat="false" ht="12.75" hidden="false" customHeight="false" outlineLevel="0" collapsed="false">
      <c r="A33" s="29"/>
      <c r="B33" s="30"/>
      <c r="C33" s="30"/>
      <c r="D33" s="30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76"/>
      <c r="AO33" s="207"/>
      <c r="AP33" s="1" t="n">
        <f aca="false">AP32+1</f>
        <v>27</v>
      </c>
    </row>
    <row r="34" customFormat="false" ht="12.75" hidden="false" customHeight="false" outlineLevel="0" collapsed="false">
      <c r="A34" s="160" t="s">
        <v>323</v>
      </c>
      <c r="B34" s="30"/>
      <c r="C34" s="30"/>
      <c r="D34" s="30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76"/>
      <c r="AO34" s="207"/>
      <c r="AP34" s="1" t="n">
        <f aca="false">AP33+1</f>
        <v>28</v>
      </c>
    </row>
    <row r="35" customFormat="false" ht="12.75" hidden="false" customHeight="false" outlineLevel="0" collapsed="false">
      <c r="A35" s="29" t="s">
        <v>324</v>
      </c>
      <c r="B35" s="30"/>
      <c r="C35" s="30"/>
      <c r="D35" s="30"/>
      <c r="E35" s="212" t="n">
        <f aca="false">E17-E25</f>
        <v>0</v>
      </c>
      <c r="F35" s="212" t="e">
        <f aca="false">F17-F25</f>
        <v>#REF!</v>
      </c>
      <c r="G35" s="212" t="e">
        <f aca="false">G17-G25</f>
        <v>#REF!</v>
      </c>
      <c r="H35" s="212" t="e">
        <f aca="false">H17-H25</f>
        <v>#REF!</v>
      </c>
      <c r="I35" s="212" t="e">
        <f aca="false">I17-I25</f>
        <v>#REF!</v>
      </c>
      <c r="J35" s="212" t="e">
        <f aca="false">J17-J25</f>
        <v>#REF!</v>
      </c>
      <c r="K35" s="212" t="e">
        <f aca="false">K17-K25</f>
        <v>#REF!</v>
      </c>
      <c r="L35" s="212" t="e">
        <f aca="false">L17-L25</f>
        <v>#REF!</v>
      </c>
      <c r="M35" s="212" t="e">
        <f aca="false">M17-M25</f>
        <v>#REF!</v>
      </c>
      <c r="N35" s="212" t="e">
        <f aca="false">N17-N25</f>
        <v>#REF!</v>
      </c>
      <c r="O35" s="212" t="e">
        <f aca="false">O17-O25</f>
        <v>#REF!</v>
      </c>
      <c r="P35" s="212" t="e">
        <f aca="false">P17-P25</f>
        <v>#REF!</v>
      </c>
      <c r="Q35" s="212" t="e">
        <f aca="false">Q17-Q25</f>
        <v>#REF!</v>
      </c>
      <c r="R35" s="212" t="e">
        <f aca="false">R17-R25</f>
        <v>#REF!</v>
      </c>
      <c r="S35" s="212" t="e">
        <f aca="false">S17-S25</f>
        <v>#REF!</v>
      </c>
      <c r="T35" s="212" t="e">
        <f aca="false">T17-T25</f>
        <v>#REF!</v>
      </c>
      <c r="U35" s="212" t="e">
        <f aca="false">U17-U25</f>
        <v>#REF!</v>
      </c>
      <c r="V35" s="212" t="e">
        <f aca="false">V17-V25</f>
        <v>#REF!</v>
      </c>
      <c r="W35" s="212" t="e">
        <f aca="false">W17-W25</f>
        <v>#REF!</v>
      </c>
      <c r="X35" s="212" t="e">
        <f aca="false">X17-X25</f>
        <v>#REF!</v>
      </c>
      <c r="Y35" s="212" t="e">
        <f aca="false">Y17-Y25</f>
        <v>#REF!</v>
      </c>
      <c r="Z35" s="212" t="e">
        <f aca="false">Z17-Z25</f>
        <v>#REF!</v>
      </c>
      <c r="AA35" s="212" t="e">
        <f aca="false">AA17-AA25</f>
        <v>#REF!</v>
      </c>
      <c r="AB35" s="212" t="e">
        <f aca="false">AB17-AB25</f>
        <v>#REF!</v>
      </c>
      <c r="AC35" s="212" t="e">
        <f aca="false">AC17-AC25</f>
        <v>#REF!</v>
      </c>
      <c r="AD35" s="212" t="e">
        <f aca="false">AD17-AD25</f>
        <v>#REF!</v>
      </c>
      <c r="AE35" s="212" t="e">
        <f aca="false">AE17-AE25</f>
        <v>#REF!</v>
      </c>
      <c r="AF35" s="212" t="e">
        <f aca="false">AF17-AF25</f>
        <v>#REF!</v>
      </c>
      <c r="AG35" s="212" t="e">
        <f aca="false">AG17-AG25</f>
        <v>#REF!</v>
      </c>
      <c r="AH35" s="212" t="e">
        <f aca="false">AH17-AH25</f>
        <v>#REF!</v>
      </c>
      <c r="AI35" s="212" t="e">
        <f aca="false">AI17-AI25</f>
        <v>#REF!</v>
      </c>
      <c r="AJ35" s="212" t="e">
        <f aca="false">AJ17-AJ25</f>
        <v>#REF!</v>
      </c>
      <c r="AK35" s="212" t="e">
        <f aca="false">AK17-AK25</f>
        <v>#REF!</v>
      </c>
      <c r="AL35" s="212" t="e">
        <f aca="false">AL17-AL25</f>
        <v>#REF!</v>
      </c>
      <c r="AM35" s="212" t="e">
        <f aca="false">AM17-AM25</f>
        <v>#REF!</v>
      </c>
      <c r="AN35" s="76" t="e">
        <f aca="false">AN17-AN25</f>
        <v>#REF!</v>
      </c>
      <c r="AO35" s="207"/>
      <c r="AP35" s="1" t="n">
        <f aca="false">AP34+1</f>
        <v>29</v>
      </c>
    </row>
    <row r="36" customFormat="false" ht="12.75" hidden="false" customHeight="false" outlineLevel="0" collapsed="false">
      <c r="A36" s="29" t="s">
        <v>325</v>
      </c>
      <c r="B36" s="30"/>
      <c r="C36" s="30"/>
      <c r="D36" s="30"/>
      <c r="E36" s="212" t="e">
        <f aca="false">E18-E26</f>
        <v>#REF!</v>
      </c>
      <c r="F36" s="212" t="e">
        <f aca="false">F18-F26</f>
        <v>#REF!</v>
      </c>
      <c r="G36" s="212" t="e">
        <f aca="false">G18-G26</f>
        <v>#REF!</v>
      </c>
      <c r="H36" s="212" t="e">
        <f aca="false">H18-H26</f>
        <v>#REF!</v>
      </c>
      <c r="I36" s="212" t="e">
        <f aca="false">I18-I26</f>
        <v>#REF!</v>
      </c>
      <c r="J36" s="212" t="e">
        <f aca="false">J18-J26</f>
        <v>#REF!</v>
      </c>
      <c r="K36" s="212" t="e">
        <f aca="false">K18-K26</f>
        <v>#REF!</v>
      </c>
      <c r="L36" s="212" t="e">
        <f aca="false">L18-L26</f>
        <v>#REF!</v>
      </c>
      <c r="M36" s="212" t="e">
        <f aca="false">M18-M26</f>
        <v>#REF!</v>
      </c>
      <c r="N36" s="212" t="e">
        <f aca="false">N18-N26</f>
        <v>#REF!</v>
      </c>
      <c r="O36" s="212" t="e">
        <f aca="false">O18-O26</f>
        <v>#REF!</v>
      </c>
      <c r="P36" s="212" t="e">
        <f aca="false">P18-P26</f>
        <v>#REF!</v>
      </c>
      <c r="Q36" s="212" t="e">
        <f aca="false">Q18-Q26</f>
        <v>#REF!</v>
      </c>
      <c r="R36" s="212" t="e">
        <f aca="false">R18-R26</f>
        <v>#REF!</v>
      </c>
      <c r="S36" s="212" t="e">
        <f aca="false">S18-S26</f>
        <v>#REF!</v>
      </c>
      <c r="T36" s="212" t="e">
        <f aca="false">T18-T26</f>
        <v>#REF!</v>
      </c>
      <c r="U36" s="212" t="e">
        <f aca="false">U18-U26</f>
        <v>#REF!</v>
      </c>
      <c r="V36" s="212" t="e">
        <f aca="false">V18-V26</f>
        <v>#REF!</v>
      </c>
      <c r="W36" s="212" t="e">
        <f aca="false">W18-W26</f>
        <v>#REF!</v>
      </c>
      <c r="X36" s="212" t="e">
        <f aca="false">X18-X26</f>
        <v>#REF!</v>
      </c>
      <c r="Y36" s="212" t="e">
        <f aca="false">Y18-Y26</f>
        <v>#REF!</v>
      </c>
      <c r="Z36" s="212" t="e">
        <f aca="false">Z18-Z26</f>
        <v>#REF!</v>
      </c>
      <c r="AA36" s="212" t="e">
        <f aca="false">AA18-AA26</f>
        <v>#REF!</v>
      </c>
      <c r="AB36" s="212" t="e">
        <f aca="false">AB18-AB26</f>
        <v>#REF!</v>
      </c>
      <c r="AC36" s="212" t="e">
        <f aca="false">AC18-AC26</f>
        <v>#REF!</v>
      </c>
      <c r="AD36" s="212" t="e">
        <f aca="false">AD18-AD26</f>
        <v>#REF!</v>
      </c>
      <c r="AE36" s="212" t="e">
        <f aca="false">AE18-AE26</f>
        <v>#REF!</v>
      </c>
      <c r="AF36" s="212" t="e">
        <f aca="false">AF18-AF26</f>
        <v>#REF!</v>
      </c>
      <c r="AG36" s="212" t="e">
        <f aca="false">AG18-AG26</f>
        <v>#REF!</v>
      </c>
      <c r="AH36" s="212" t="e">
        <f aca="false">AH18-AH26</f>
        <v>#REF!</v>
      </c>
      <c r="AI36" s="212" t="e">
        <f aca="false">AI18-AI26</f>
        <v>#REF!</v>
      </c>
      <c r="AJ36" s="212" t="e">
        <f aca="false">AJ18-AJ26</f>
        <v>#REF!</v>
      </c>
      <c r="AK36" s="212" t="e">
        <f aca="false">AK18-AK26</f>
        <v>#REF!</v>
      </c>
      <c r="AL36" s="212" t="e">
        <f aca="false">AL18-AL26</f>
        <v>#REF!</v>
      </c>
      <c r="AM36" s="212" t="e">
        <f aca="false">AM18-AM26</f>
        <v>#REF!</v>
      </c>
      <c r="AN36" s="76" t="e">
        <f aca="false">AN18-AN26</f>
        <v>#REF!</v>
      </c>
      <c r="AO36" s="213" t="e">
        <f aca="false">SUM(E36:AN36)</f>
        <v>#REF!</v>
      </c>
      <c r="AP36" s="1" t="n">
        <f aca="false">AP35+1</f>
        <v>30</v>
      </c>
    </row>
    <row r="37" customFormat="false" ht="12.75" hidden="false" customHeight="false" outlineLevel="0" collapsed="false">
      <c r="A37" s="29" t="s">
        <v>326</v>
      </c>
      <c r="B37" s="30"/>
      <c r="C37" s="30"/>
      <c r="D37" s="30"/>
      <c r="E37" s="215" t="e">
        <f aca="false">E19-E27</f>
        <v>#REF!</v>
      </c>
      <c r="F37" s="215" t="e">
        <f aca="false">F19-F27</f>
        <v>#REF!</v>
      </c>
      <c r="G37" s="215" t="e">
        <f aca="false">G19-G27</f>
        <v>#REF!</v>
      </c>
      <c r="H37" s="215" t="e">
        <f aca="false">H19-H27</f>
        <v>#REF!</v>
      </c>
      <c r="I37" s="215" t="e">
        <f aca="false">I19-I27</f>
        <v>#REF!</v>
      </c>
      <c r="J37" s="215" t="e">
        <f aca="false">J19-J27</f>
        <v>#REF!</v>
      </c>
      <c r="K37" s="215" t="n">
        <f aca="false">K19-K27</f>
        <v>0</v>
      </c>
      <c r="L37" s="215" t="n">
        <f aca="false">L19-L27</f>
        <v>0</v>
      </c>
      <c r="M37" s="215" t="n">
        <f aca="false">M19-M27</f>
        <v>0</v>
      </c>
      <c r="N37" s="215" t="n">
        <f aca="false">N19-N27</f>
        <v>0</v>
      </c>
      <c r="O37" s="215" t="n">
        <f aca="false">O19-O27</f>
        <v>0</v>
      </c>
      <c r="P37" s="215" t="n">
        <f aca="false">P19-P27</f>
        <v>0</v>
      </c>
      <c r="Q37" s="215" t="n">
        <f aca="false">Q19-Q27</f>
        <v>0</v>
      </c>
      <c r="R37" s="215" t="n">
        <f aca="false">R19-R27</f>
        <v>0</v>
      </c>
      <c r="S37" s="215" t="n">
        <f aca="false">S19-S27</f>
        <v>0</v>
      </c>
      <c r="T37" s="215" t="n">
        <f aca="false">T19-T27</f>
        <v>0</v>
      </c>
      <c r="U37" s="215" t="n">
        <f aca="false">U19-U27</f>
        <v>0</v>
      </c>
      <c r="V37" s="215" t="n">
        <f aca="false">V19-V27</f>
        <v>0</v>
      </c>
      <c r="W37" s="215" t="n">
        <f aca="false">W19-W27</f>
        <v>0</v>
      </c>
      <c r="X37" s="215" t="n">
        <f aca="false">X19-X27</f>
        <v>0</v>
      </c>
      <c r="Y37" s="215" t="n">
        <f aca="false">Y19-Y27</f>
        <v>0</v>
      </c>
      <c r="Z37" s="215" t="n">
        <f aca="false">Z19-Z27</f>
        <v>0</v>
      </c>
      <c r="AA37" s="215" t="n">
        <f aca="false">AA19-AA27</f>
        <v>0</v>
      </c>
      <c r="AB37" s="215" t="n">
        <f aca="false">AB19-AB27</f>
        <v>0</v>
      </c>
      <c r="AC37" s="215" t="n">
        <f aca="false">AC19-AC27</f>
        <v>0</v>
      </c>
      <c r="AD37" s="215" t="n">
        <f aca="false">AD19-AD27</f>
        <v>0</v>
      </c>
      <c r="AE37" s="215" t="n">
        <f aca="false">AE19-AE27</f>
        <v>0</v>
      </c>
      <c r="AF37" s="215" t="n">
        <f aca="false">AF19-AF27</f>
        <v>0</v>
      </c>
      <c r="AG37" s="215" t="n">
        <f aca="false">AG19-AG27</f>
        <v>0</v>
      </c>
      <c r="AH37" s="215" t="n">
        <f aca="false">AH19-AH27</f>
        <v>0</v>
      </c>
      <c r="AI37" s="215" t="n">
        <f aca="false">AI19-AI27</f>
        <v>0</v>
      </c>
      <c r="AJ37" s="215" t="n">
        <f aca="false">AJ19-AJ27</f>
        <v>0</v>
      </c>
      <c r="AK37" s="215" t="n">
        <f aca="false">AK19-AK27</f>
        <v>0</v>
      </c>
      <c r="AL37" s="215" t="n">
        <f aca="false">AL19-AL27</f>
        <v>0</v>
      </c>
      <c r="AM37" s="215" t="n">
        <f aca="false">AM19-AM27</f>
        <v>0</v>
      </c>
      <c r="AN37" s="306" t="n">
        <f aca="false">AN19-AN27</f>
        <v>0</v>
      </c>
      <c r="AO37" s="213" t="e">
        <f aca="false">SUM(E37:AN37)</f>
        <v>#REF!</v>
      </c>
      <c r="AP37" s="1" t="n">
        <f aca="false">AP36+1</f>
        <v>31</v>
      </c>
    </row>
    <row r="38" customFormat="false" ht="12.75" hidden="false" customHeight="false" outlineLevel="0" collapsed="false">
      <c r="A38" s="57" t="s">
        <v>327</v>
      </c>
      <c r="B38" s="58"/>
      <c r="C38" s="58"/>
      <c r="D38" s="58"/>
      <c r="E38" s="303" t="e">
        <f aca="false">E20-E28</f>
        <v>#REF!</v>
      </c>
      <c r="F38" s="303" t="e">
        <f aca="false">F20-F28</f>
        <v>#REF!</v>
      </c>
      <c r="G38" s="303" t="e">
        <f aca="false">G20-G28</f>
        <v>#REF!</v>
      </c>
      <c r="H38" s="303" t="e">
        <f aca="false">H20-H28</f>
        <v>#REF!</v>
      </c>
      <c r="I38" s="303" t="e">
        <f aca="false">I20-I28</f>
        <v>#REF!</v>
      </c>
      <c r="J38" s="303" t="e">
        <f aca="false">J20-J28</f>
        <v>#REF!</v>
      </c>
      <c r="K38" s="303" t="e">
        <f aca="false">K20-K28</f>
        <v>#REF!</v>
      </c>
      <c r="L38" s="303" t="e">
        <f aca="false">L20-L28</f>
        <v>#REF!</v>
      </c>
      <c r="M38" s="303" t="e">
        <f aca="false">M20-M28</f>
        <v>#REF!</v>
      </c>
      <c r="N38" s="303" t="e">
        <f aca="false">N20-N28</f>
        <v>#REF!</v>
      </c>
      <c r="O38" s="303" t="e">
        <f aca="false">O20-O28</f>
        <v>#REF!</v>
      </c>
      <c r="P38" s="303" t="e">
        <f aca="false">P20-P28</f>
        <v>#REF!</v>
      </c>
      <c r="Q38" s="303" t="e">
        <f aca="false">Q20-Q28</f>
        <v>#REF!</v>
      </c>
      <c r="R38" s="303" t="e">
        <f aca="false">R20-R28</f>
        <v>#REF!</v>
      </c>
      <c r="S38" s="303" t="e">
        <f aca="false">S20-S28</f>
        <v>#REF!</v>
      </c>
      <c r="T38" s="303" t="e">
        <f aca="false">T20-T28</f>
        <v>#REF!</v>
      </c>
      <c r="U38" s="303" t="e">
        <f aca="false">U20-U28</f>
        <v>#REF!</v>
      </c>
      <c r="V38" s="303" t="e">
        <f aca="false">V20-V28</f>
        <v>#REF!</v>
      </c>
      <c r="W38" s="303" t="e">
        <f aca="false">W20-W28</f>
        <v>#REF!</v>
      </c>
      <c r="X38" s="303" t="e">
        <f aca="false">X20-X28</f>
        <v>#REF!</v>
      </c>
      <c r="Y38" s="303" t="e">
        <f aca="false">Y20-Y28</f>
        <v>#REF!</v>
      </c>
      <c r="Z38" s="303" t="e">
        <f aca="false">Z20-Z28</f>
        <v>#REF!</v>
      </c>
      <c r="AA38" s="303" t="e">
        <f aca="false">AA20-AA28</f>
        <v>#REF!</v>
      </c>
      <c r="AB38" s="303" t="e">
        <f aca="false">AB20-AB28</f>
        <v>#REF!</v>
      </c>
      <c r="AC38" s="303" t="e">
        <f aca="false">AC20-AC28</f>
        <v>#REF!</v>
      </c>
      <c r="AD38" s="303" t="e">
        <f aca="false">AD20-AD28</f>
        <v>#REF!</v>
      </c>
      <c r="AE38" s="303" t="e">
        <f aca="false">AE20-AE28</f>
        <v>#REF!</v>
      </c>
      <c r="AF38" s="303" t="e">
        <f aca="false">AF20-AF28</f>
        <v>#REF!</v>
      </c>
      <c r="AG38" s="303" t="e">
        <f aca="false">AG20-AG28</f>
        <v>#REF!</v>
      </c>
      <c r="AH38" s="303" t="e">
        <f aca="false">AH20-AH28</f>
        <v>#REF!</v>
      </c>
      <c r="AI38" s="303" t="e">
        <f aca="false">AI20-AI28</f>
        <v>#REF!</v>
      </c>
      <c r="AJ38" s="303" t="e">
        <f aca="false">AJ20-AJ28</f>
        <v>#REF!</v>
      </c>
      <c r="AK38" s="303" t="e">
        <f aca="false">AK20-AK28</f>
        <v>#REF!</v>
      </c>
      <c r="AL38" s="303" t="e">
        <f aca="false">AL20-AL28</f>
        <v>#REF!</v>
      </c>
      <c r="AM38" s="303" t="e">
        <f aca="false">AM20-AM28</f>
        <v>#REF!</v>
      </c>
      <c r="AN38" s="84" t="e">
        <f aca="false">AN20-AN28</f>
        <v>#REF!</v>
      </c>
      <c r="AO38" s="202"/>
      <c r="AP38" s="1" t="n">
        <f aca="false">AP37+1</f>
        <v>32</v>
      </c>
    </row>
    <row r="39" customFormat="false" ht="13.5" hidden="false" customHeight="false" outlineLevel="0" collapsed="false"/>
    <row r="40" customFormat="false" ht="13.5" hidden="false" customHeight="false" outlineLevel="0" collapsed="false">
      <c r="A40" s="360" t="s">
        <v>328</v>
      </c>
      <c r="B40" s="361"/>
      <c r="C40" s="361"/>
      <c r="D40" s="362" t="e">
        <f aca="false">SUM(E30:AN30)</f>
        <v>#REF!</v>
      </c>
    </row>
    <row r="41" customFormat="false" ht="13.5" hidden="false" customHeight="false" outlineLevel="0" collapsed="false">
      <c r="A41" s="363" t="s">
        <v>329</v>
      </c>
      <c r="B41" s="364"/>
      <c r="C41" s="364"/>
      <c r="D41" s="365" t="e">
        <f aca="false">AO32</f>
        <v>#REF!</v>
      </c>
    </row>
    <row r="42" customFormat="false" ht="13.5" hidden="false" customHeight="false" outlineLevel="0" collapsed="false"/>
  </sheetData>
  <mergeCells count="1">
    <mergeCell ref="B13:D13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6.28"/>
    <col collapsed="false" customWidth="true" hidden="false" outlineLevel="0" max="26" min="3" style="1" width="9.7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2" t="s">
        <v>330</v>
      </c>
      <c r="B1" s="318"/>
      <c r="C1" s="318"/>
      <c r="D1" s="318"/>
      <c r="E1" s="268"/>
    </row>
    <row r="2" customFormat="false" ht="15.75" hidden="false" customHeight="false" outlineLevel="0" collapsed="false">
      <c r="A2" s="188" t="n">
        <f aca="false">ASS!A4</f>
        <v>0</v>
      </c>
      <c r="B2" s="70"/>
      <c r="C2" s="70"/>
      <c r="D2" s="70"/>
      <c r="E2" s="269"/>
      <c r="G2" s="267"/>
      <c r="H2" s="267"/>
    </row>
    <row r="3" customFormat="false" ht="15.75" hidden="false" customHeight="false" outlineLevel="0" collapsed="false">
      <c r="A3" s="189" t="str">
        <f aca="false">ASS!A5</f>
        <v>BASE MODEL</v>
      </c>
      <c r="B3" s="319"/>
      <c r="C3" s="319"/>
      <c r="D3" s="319"/>
      <c r="E3" s="270"/>
    </row>
    <row r="4" customFormat="false" ht="12.75" hidden="false" customHeight="false" outlineLevel="0" collapsed="false">
      <c r="A4" s="0"/>
      <c r="B4" s="0"/>
      <c r="C4" s="0"/>
      <c r="D4" s="366" t="n">
        <f aca="false">B24</f>
        <v>1</v>
      </c>
      <c r="E4" s="366" t="n">
        <f aca="false">D4+2</f>
        <v>3</v>
      </c>
      <c r="F4" s="366" t="n">
        <f aca="false">E4+2</f>
        <v>5</v>
      </c>
      <c r="G4" s="366" t="n">
        <f aca="false">F4+2</f>
        <v>7</v>
      </c>
      <c r="H4" s="366" t="n">
        <f aca="false">G4+2</f>
        <v>9</v>
      </c>
      <c r="I4" s="366" t="n">
        <f aca="false">H4+2</f>
        <v>11</v>
      </c>
      <c r="J4" s="366" t="n">
        <f aca="false">I4+2</f>
        <v>13</v>
      </c>
      <c r="K4" s="366" t="n">
        <f aca="false">J4+2</f>
        <v>15</v>
      </c>
      <c r="L4" s="366" t="n">
        <f aca="false">K4+2</f>
        <v>17</v>
      </c>
      <c r="M4" s="366" t="n">
        <f aca="false">L4+2</f>
        <v>19</v>
      </c>
      <c r="N4" s="366" t="n">
        <f aca="false">M4+2</f>
        <v>21</v>
      </c>
      <c r="O4" s="366" t="n">
        <f aca="false">N4+2</f>
        <v>23</v>
      </c>
      <c r="P4" s="366" t="n">
        <f aca="false">O4+2</f>
        <v>25</v>
      </c>
      <c r="Q4" s="366" t="n">
        <f aca="false">P4+2</f>
        <v>27</v>
      </c>
      <c r="R4" s="366" t="n">
        <f aca="false">Q4+2</f>
        <v>29</v>
      </c>
      <c r="S4" s="366" t="n">
        <f aca="false">R4+2</f>
        <v>31</v>
      </c>
      <c r="T4" s="366" t="n">
        <f aca="false">S4+2</f>
        <v>33</v>
      </c>
      <c r="U4" s="366" t="n">
        <f aca="false">T4+2</f>
        <v>35</v>
      </c>
      <c r="V4" s="366" t="n">
        <f aca="false">U4+2</f>
        <v>37</v>
      </c>
      <c r="W4" s="366" t="n">
        <f aca="false">V4+2</f>
        <v>39</v>
      </c>
      <c r="X4" s="366" t="n">
        <f aca="false">W4+2</f>
        <v>41</v>
      </c>
      <c r="Y4" s="366" t="n">
        <f aca="false">X4+2</f>
        <v>43</v>
      </c>
      <c r="Z4" s="366" t="n">
        <f aca="false">Y4+2</f>
        <v>45</v>
      </c>
      <c r="AA4" s="366" t="n">
        <f aca="false">Z4+2</f>
        <v>47</v>
      </c>
      <c r="AB4" s="366" t="n">
        <f aca="false">AA4+2</f>
        <v>49</v>
      </c>
      <c r="AC4" s="366" t="n">
        <f aca="false">AB4+2</f>
        <v>51</v>
      </c>
    </row>
    <row r="5" customFormat="false" ht="12.75" hidden="false" customHeight="false" outlineLevel="0" collapsed="false">
      <c r="A5" s="18" t="s">
        <v>203</v>
      </c>
      <c r="B5" s="15"/>
      <c r="C5" s="15"/>
      <c r="D5" s="15" t="n">
        <f aca="false">CF!D5</f>
        <v>1</v>
      </c>
      <c r="E5" s="15" t="n">
        <f aca="false">CF!E5</f>
        <v>2</v>
      </c>
      <c r="F5" s="15" t="n">
        <f aca="false">CF!F5</f>
        <v>3</v>
      </c>
      <c r="G5" s="15" t="n">
        <f aca="false">CF!G5</f>
        <v>4</v>
      </c>
      <c r="H5" s="15" t="n">
        <f aca="false">CF!H5</f>
        <v>5</v>
      </c>
      <c r="I5" s="15" t="n">
        <f aca="false">CF!I5</f>
        <v>6</v>
      </c>
      <c r="J5" s="15" t="n">
        <f aca="false">CF!J5</f>
        <v>7</v>
      </c>
      <c r="K5" s="15" t="n">
        <f aca="false">CF!K5</f>
        <v>8</v>
      </c>
      <c r="L5" s="15" t="n">
        <f aca="false">CF!L5</f>
        <v>9</v>
      </c>
      <c r="M5" s="15" t="n">
        <f aca="false">CF!M5</f>
        <v>10</v>
      </c>
      <c r="N5" s="15" t="n">
        <f aca="false">CF!N5</f>
        <v>11</v>
      </c>
      <c r="O5" s="15" t="n">
        <f aca="false">CF!O5</f>
        <v>12</v>
      </c>
      <c r="P5" s="15" t="n">
        <f aca="false">CF!P5</f>
        <v>13</v>
      </c>
      <c r="Q5" s="15" t="n">
        <f aca="false">CF!Q5</f>
        <v>14</v>
      </c>
      <c r="R5" s="15" t="n">
        <f aca="false">CF!R5</f>
        <v>15</v>
      </c>
      <c r="S5" s="15" t="n">
        <f aca="false">CF!S5</f>
        <v>16</v>
      </c>
      <c r="T5" s="15" t="n">
        <f aca="false">CF!T5</f>
        <v>17</v>
      </c>
      <c r="U5" s="15" t="n">
        <f aca="false">CF!U5</f>
        <v>18</v>
      </c>
      <c r="V5" s="15" t="n">
        <f aca="false">CF!V5</f>
        <v>19</v>
      </c>
      <c r="W5" s="15" t="n">
        <f aca="false">CF!W5</f>
        <v>20</v>
      </c>
      <c r="X5" s="15" t="n">
        <f aca="false">CF!X5</f>
        <v>21</v>
      </c>
      <c r="Y5" s="15" t="n">
        <f aca="false">CF!Y5</f>
        <v>22</v>
      </c>
      <c r="Z5" s="15" t="n">
        <f aca="false">CF!Z5</f>
        <v>23</v>
      </c>
      <c r="AA5" s="15" t="n">
        <f aca="false">CF!AA5</f>
        <v>24</v>
      </c>
      <c r="AB5" s="15" t="n">
        <f aca="false">CF!AB5</f>
        <v>25</v>
      </c>
      <c r="AC5" s="15" t="n">
        <f aca="false">CF!AC5</f>
        <v>26</v>
      </c>
      <c r="AD5" s="194"/>
    </row>
    <row r="6" customFormat="false" ht="12.75" hidden="false" customHeight="false" outlineLevel="0" collapsed="false">
      <c r="A6" s="195" t="s">
        <v>204</v>
      </c>
      <c r="B6" s="30"/>
      <c r="C6" s="30"/>
      <c r="D6" s="196" t="n">
        <f aca="false">CF!D6</f>
        <v>2001</v>
      </c>
      <c r="E6" s="196" t="n">
        <f aca="false">CF!E6</f>
        <v>2002</v>
      </c>
      <c r="F6" s="196" t="n">
        <f aca="false">CF!F6</f>
        <v>2003</v>
      </c>
      <c r="G6" s="196" t="n">
        <f aca="false">CF!G6</f>
        <v>2004</v>
      </c>
      <c r="H6" s="196" t="n">
        <f aca="false">CF!H6</f>
        <v>2005</v>
      </c>
      <c r="I6" s="196" t="n">
        <f aca="false">CF!I6</f>
        <v>2006</v>
      </c>
      <c r="J6" s="196" t="n">
        <f aca="false">CF!J6</f>
        <v>2007</v>
      </c>
      <c r="K6" s="196" t="n">
        <f aca="false">CF!K6</f>
        <v>2008</v>
      </c>
      <c r="L6" s="196" t="n">
        <f aca="false">CF!L6</f>
        <v>2009</v>
      </c>
      <c r="M6" s="196" t="n">
        <f aca="false">CF!M6</f>
        <v>2010</v>
      </c>
      <c r="N6" s="196" t="n">
        <f aca="false">CF!N6</f>
        <v>2011</v>
      </c>
      <c r="O6" s="196" t="n">
        <f aca="false">CF!O6</f>
        <v>2012</v>
      </c>
      <c r="P6" s="196" t="n">
        <f aca="false">CF!P6</f>
        <v>2013</v>
      </c>
      <c r="Q6" s="196" t="n">
        <f aca="false">CF!Q6</f>
        <v>2014</v>
      </c>
      <c r="R6" s="196" t="n">
        <f aca="false">CF!R6</f>
        <v>2015</v>
      </c>
      <c r="S6" s="196" t="n">
        <f aca="false">CF!S6</f>
        <v>2016</v>
      </c>
      <c r="T6" s="196" t="n">
        <f aca="false">CF!T6</f>
        <v>2017</v>
      </c>
      <c r="U6" s="196" t="n">
        <f aca="false">CF!U6</f>
        <v>2018</v>
      </c>
      <c r="V6" s="196" t="n">
        <f aca="false">CF!V6</f>
        <v>2019</v>
      </c>
      <c r="W6" s="196" t="n">
        <f aca="false">CF!W6</f>
        <v>2020</v>
      </c>
      <c r="X6" s="196" t="n">
        <f aca="false">CF!X6</f>
        <v>2021</v>
      </c>
      <c r="Y6" s="196" t="n">
        <f aca="false">CF!Y6</f>
        <v>2022</v>
      </c>
      <c r="Z6" s="196" t="n">
        <f aca="false">CF!Z6</f>
        <v>2023</v>
      </c>
      <c r="AA6" s="196" t="n">
        <f aca="false">CF!AA6</f>
        <v>2024</v>
      </c>
      <c r="AB6" s="196" t="n">
        <f aca="false">CF!AB6</f>
        <v>2025</v>
      </c>
      <c r="AC6" s="196" t="n">
        <f aca="false">CF!AC6</f>
        <v>2026</v>
      </c>
      <c r="AD6" s="200" t="s">
        <v>331</v>
      </c>
    </row>
    <row r="7" customFormat="false" ht="12.75" hidden="false" customHeight="false" outlineLevel="0" collapsed="false">
      <c r="A7" s="57" t="s">
        <v>206</v>
      </c>
      <c r="B7" s="58"/>
      <c r="C7" s="58"/>
      <c r="D7" s="58" t="n">
        <f aca="false">CF!D7</f>
        <v>7</v>
      </c>
      <c r="E7" s="58" t="n">
        <f aca="false">CF!E7</f>
        <v>12</v>
      </c>
      <c r="F7" s="58" t="n">
        <f aca="false">CF!F7</f>
        <v>12</v>
      </c>
      <c r="G7" s="58" t="n">
        <f aca="false">CF!G7</f>
        <v>12</v>
      </c>
      <c r="H7" s="58" t="n">
        <f aca="false">CF!H7</f>
        <v>12</v>
      </c>
      <c r="I7" s="58" t="n">
        <f aca="false">CF!I7</f>
        <v>12</v>
      </c>
      <c r="J7" s="58" t="n">
        <f aca="false">CF!J7</f>
        <v>12</v>
      </c>
      <c r="K7" s="58" t="n">
        <f aca="false">CF!K7</f>
        <v>12</v>
      </c>
      <c r="L7" s="58" t="n">
        <f aca="false">CF!L7</f>
        <v>12</v>
      </c>
      <c r="M7" s="58" t="n">
        <f aca="false">CF!M7</f>
        <v>12</v>
      </c>
      <c r="N7" s="58" t="n">
        <f aca="false">CF!N7</f>
        <v>12</v>
      </c>
      <c r="O7" s="58" t="n">
        <f aca="false">CF!O7</f>
        <v>12</v>
      </c>
      <c r="P7" s="58" t="n">
        <f aca="false">CF!P7</f>
        <v>12</v>
      </c>
      <c r="Q7" s="58" t="n">
        <f aca="false">CF!Q7</f>
        <v>12</v>
      </c>
      <c r="R7" s="58" t="n">
        <f aca="false">CF!R7</f>
        <v>12</v>
      </c>
      <c r="S7" s="58" t="n">
        <f aca="false">CF!S7</f>
        <v>12</v>
      </c>
      <c r="T7" s="58" t="n">
        <f aca="false">CF!T7</f>
        <v>12</v>
      </c>
      <c r="U7" s="58" t="n">
        <f aca="false">CF!U7</f>
        <v>12</v>
      </c>
      <c r="V7" s="58" t="n">
        <f aca="false">CF!V7</f>
        <v>12</v>
      </c>
      <c r="W7" s="58" t="n">
        <f aca="false">CF!W7</f>
        <v>12</v>
      </c>
      <c r="X7" s="58" t="n">
        <f aca="false">CF!X7</f>
        <v>12</v>
      </c>
      <c r="Y7" s="58" t="n">
        <f aca="false">CF!Y7</f>
        <v>12</v>
      </c>
      <c r="Z7" s="58" t="n">
        <f aca="false">CF!Z7</f>
        <v>12</v>
      </c>
      <c r="AA7" s="58" t="n">
        <f aca="false">CF!AA7</f>
        <v>12</v>
      </c>
      <c r="AB7" s="58" t="n">
        <f aca="false">CF!AB7</f>
        <v>12</v>
      </c>
      <c r="AC7" s="58" t="n">
        <f aca="false">CF!AC7</f>
        <v>0</v>
      </c>
      <c r="AD7" s="202"/>
    </row>
    <row r="8" customFormat="false" ht="12.75" hidden="false" customHeight="false" outlineLevel="0" collapsed="false">
      <c r="AD8" s="30"/>
    </row>
    <row r="9" customFormat="false" ht="12.75" hidden="false" customHeight="false" outlineLevel="0" collapsed="false">
      <c r="A9" s="367" t="s">
        <v>332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94"/>
    </row>
    <row r="10" customFormat="false" ht="12.75" hidden="false" customHeight="false" outlineLevel="0" collapsed="false">
      <c r="A10" s="368" t="s">
        <v>333</v>
      </c>
      <c r="B10" s="30"/>
      <c r="C10" s="30"/>
      <c r="D10" s="212" t="e">
        <f aca="false">VLOOKUP(D4,FIN_TABLE,26)</f>
        <v>#REF!</v>
      </c>
      <c r="E10" s="212" t="e">
        <f aca="false">VLOOKUP(E4,FIN_TABLE,26)</f>
        <v>#REF!</v>
      </c>
      <c r="F10" s="212" t="e">
        <f aca="false">VLOOKUP(F4,FIN_TABLE,26)</f>
        <v>#REF!</v>
      </c>
      <c r="G10" s="212" t="e">
        <f aca="false">VLOOKUP(G4,FIN_TABLE,26)</f>
        <v>#REF!</v>
      </c>
      <c r="H10" s="212" t="e">
        <f aca="false">VLOOKUP(H4,FIN_TABLE,26)</f>
        <v>#REF!</v>
      </c>
      <c r="I10" s="212" t="e">
        <f aca="false">VLOOKUP(I4,FIN_TABLE,26)</f>
        <v>#REF!</v>
      </c>
      <c r="J10" s="212" t="e">
        <f aca="false">VLOOKUP(J4,FIN_TABLE,26)</f>
        <v>#REF!</v>
      </c>
      <c r="K10" s="212" t="e">
        <f aca="false">VLOOKUP(K4,FIN_TABLE,26)</f>
        <v>#REF!</v>
      </c>
      <c r="L10" s="212" t="e">
        <f aca="false">VLOOKUP(L4,FIN_TABLE,26)</f>
        <v>#REF!</v>
      </c>
      <c r="M10" s="212" t="e">
        <f aca="false">VLOOKUP(M4,FIN_TABLE,26)</f>
        <v>#REF!</v>
      </c>
      <c r="N10" s="212" t="e">
        <f aca="false">VLOOKUP(N4,FIN_TABLE,26)</f>
        <v>#REF!</v>
      </c>
      <c r="O10" s="212" t="e">
        <f aca="false">VLOOKUP(O4,FIN_TABLE,26)</f>
        <v>#REF!</v>
      </c>
      <c r="P10" s="212" t="e">
        <f aca="false">VLOOKUP(P4,FIN_TABLE,26)</f>
        <v>#REF!</v>
      </c>
      <c r="Q10" s="212" t="e">
        <f aca="false">VLOOKUP(Q4,FIN_TABLE,26)</f>
        <v>#REF!</v>
      </c>
      <c r="R10" s="212" t="e">
        <f aca="false">VLOOKUP(R4,FIN_TABLE,26)</f>
        <v>#REF!</v>
      </c>
      <c r="S10" s="212" t="e">
        <f aca="false">VLOOKUP(S4,FIN_TABLE,26)</f>
        <v>#REF!</v>
      </c>
      <c r="T10" s="212" t="e">
        <f aca="false">VLOOKUP(T4,FIN_TABLE,26)</f>
        <v>#REF!</v>
      </c>
      <c r="U10" s="212" t="e">
        <f aca="false">VLOOKUP(U4,FIN_TABLE,26)</f>
        <v>#REF!</v>
      </c>
      <c r="V10" s="212" t="e">
        <f aca="false">VLOOKUP(V4,FIN_TABLE,26)</f>
        <v>#REF!</v>
      </c>
      <c r="W10" s="212" t="e">
        <f aca="false">VLOOKUP(W4,FIN_TABLE,26)</f>
        <v>#REF!</v>
      </c>
      <c r="X10" s="212" t="e">
        <f aca="false">VLOOKUP(X4,FIN_TABLE,26)</f>
        <v>#REF!</v>
      </c>
      <c r="Y10" s="212" t="e">
        <f aca="false">VLOOKUP(Y4,FIN_TABLE,26)</f>
        <v>#REF!</v>
      </c>
      <c r="Z10" s="212" t="e">
        <f aca="false">VLOOKUP(Z4,FIN_TABLE,26)</f>
        <v>#REF!</v>
      </c>
      <c r="AA10" s="212" t="e">
        <f aca="false">VLOOKUP(AA4,FIN_TABLE,26)</f>
        <v>#REF!</v>
      </c>
      <c r="AB10" s="212" t="e">
        <f aca="false">VLOOKUP(AB4,FIN_TABLE,26)</f>
        <v>#REF!</v>
      </c>
      <c r="AC10" s="212" t="e">
        <f aca="false">VLOOKUP(AC4,FIN_TABLE,26)</f>
        <v>#REF!</v>
      </c>
      <c r="AD10" s="213" t="e">
        <f aca="false">SUM(D10:X10)</f>
        <v>#REF!</v>
      </c>
    </row>
    <row r="11" customFormat="false" ht="12.75" hidden="false" customHeight="false" outlineLevel="0" collapsed="false">
      <c r="A11" s="368" t="s">
        <v>334</v>
      </c>
      <c r="B11" s="30"/>
      <c r="C11" s="30"/>
      <c r="D11" s="215" t="e">
        <f aca="false">VLOOKUP(D4,FIN_TABLE,27)</f>
        <v>#REF!</v>
      </c>
      <c r="E11" s="215" t="e">
        <f aca="false">VLOOKUP(E4,FIN_TABLE,27)</f>
        <v>#REF!</v>
      </c>
      <c r="F11" s="215" t="e">
        <f aca="false">VLOOKUP(F4,FIN_TABLE,27)</f>
        <v>#REF!</v>
      </c>
      <c r="G11" s="215" t="e">
        <f aca="false">VLOOKUP(G4,FIN_TABLE,27)</f>
        <v>#REF!</v>
      </c>
      <c r="H11" s="215" t="e">
        <f aca="false">VLOOKUP(H4,FIN_TABLE,27)</f>
        <v>#REF!</v>
      </c>
      <c r="I11" s="215" t="e">
        <f aca="false">VLOOKUP(I4,FIN_TABLE,27)</f>
        <v>#REF!</v>
      </c>
      <c r="J11" s="215" t="e">
        <f aca="false">VLOOKUP(J4,FIN_TABLE,27)</f>
        <v>#REF!</v>
      </c>
      <c r="K11" s="215" t="e">
        <f aca="false">VLOOKUP(K4,FIN_TABLE,27)</f>
        <v>#REF!</v>
      </c>
      <c r="L11" s="215" t="e">
        <f aca="false">VLOOKUP(L4,FIN_TABLE,27)</f>
        <v>#REF!</v>
      </c>
      <c r="M11" s="215" t="e">
        <f aca="false">VLOOKUP(M4,FIN_TABLE,27)</f>
        <v>#REF!</v>
      </c>
      <c r="N11" s="215" t="e">
        <f aca="false">VLOOKUP(N4,FIN_TABLE,27)</f>
        <v>#REF!</v>
      </c>
      <c r="O11" s="215" t="e">
        <f aca="false">VLOOKUP(O4,FIN_TABLE,27)</f>
        <v>#REF!</v>
      </c>
      <c r="P11" s="215" t="e">
        <f aca="false">VLOOKUP(P4,FIN_TABLE,27)</f>
        <v>#REF!</v>
      </c>
      <c r="Q11" s="215" t="e">
        <f aca="false">VLOOKUP(Q4,FIN_TABLE,27)</f>
        <v>#REF!</v>
      </c>
      <c r="R11" s="215" t="e">
        <f aca="false">VLOOKUP(R4,FIN_TABLE,27)</f>
        <v>#REF!</v>
      </c>
      <c r="S11" s="215" t="e">
        <f aca="false">VLOOKUP(S4,FIN_TABLE,27)</f>
        <v>#REF!</v>
      </c>
      <c r="T11" s="215" t="e">
        <f aca="false">VLOOKUP(T4,FIN_TABLE,27)</f>
        <v>#REF!</v>
      </c>
      <c r="U11" s="215" t="e">
        <f aca="false">VLOOKUP(U4,FIN_TABLE,27)</f>
        <v>#REF!</v>
      </c>
      <c r="V11" s="215" t="e">
        <f aca="false">VLOOKUP(V4,FIN_TABLE,27)</f>
        <v>#REF!</v>
      </c>
      <c r="W11" s="215" t="e">
        <f aca="false">VLOOKUP(W4,FIN_TABLE,27)</f>
        <v>#REF!</v>
      </c>
      <c r="X11" s="215" t="e">
        <f aca="false">VLOOKUP(X4,FIN_TABLE,27)</f>
        <v>#REF!</v>
      </c>
      <c r="Y11" s="215" t="e">
        <f aca="false">VLOOKUP(Y4,FIN_TABLE,27)</f>
        <v>#REF!</v>
      </c>
      <c r="Z11" s="215" t="e">
        <f aca="false">VLOOKUP(Z4,FIN_TABLE,27)</f>
        <v>#REF!</v>
      </c>
      <c r="AA11" s="215" t="e">
        <f aca="false">VLOOKUP(AA4,FIN_TABLE,27)</f>
        <v>#REF!</v>
      </c>
      <c r="AB11" s="215" t="e">
        <f aca="false">VLOOKUP(AB4,FIN_TABLE,27)</f>
        <v>#REF!</v>
      </c>
      <c r="AC11" s="215" t="e">
        <f aca="false">VLOOKUP(AC4,FIN_TABLE,27)</f>
        <v>#REF!</v>
      </c>
      <c r="AD11" s="216" t="e">
        <f aca="false">SUM(D11:X11)</f>
        <v>#REF!</v>
      </c>
      <c r="AE11" s="5" t="e">
        <f aca="false">IF(ABS(AD11-DEBT)&lt;0.01," ","SUM OF PRINCIPAL PAYMENTS DOES NOT EQUAL DEBT")</f>
        <v>#REF!</v>
      </c>
    </row>
    <row r="12" customFormat="false" ht="12.75" hidden="false" customHeight="false" outlineLevel="0" collapsed="false">
      <c r="A12" s="369" t="s">
        <v>335</v>
      </c>
      <c r="B12" s="319"/>
      <c r="C12" s="319"/>
      <c r="D12" s="370" t="e">
        <f aca="false">SUM(D10:D11)</f>
        <v>#REF!</v>
      </c>
      <c r="E12" s="370" t="e">
        <f aca="false">SUM(E10:E11)</f>
        <v>#REF!</v>
      </c>
      <c r="F12" s="370" t="e">
        <f aca="false">SUM(F10:F11)</f>
        <v>#REF!</v>
      </c>
      <c r="G12" s="370" t="e">
        <f aca="false">SUM(G10:G11)</f>
        <v>#REF!</v>
      </c>
      <c r="H12" s="370" t="e">
        <f aca="false">SUM(H10:H11)</f>
        <v>#REF!</v>
      </c>
      <c r="I12" s="370" t="e">
        <f aca="false">SUM(I10:I11)</f>
        <v>#REF!</v>
      </c>
      <c r="J12" s="370" t="e">
        <f aca="false">SUM(J10:J11)</f>
        <v>#REF!</v>
      </c>
      <c r="K12" s="370" t="e">
        <f aca="false">SUM(K10:K11)</f>
        <v>#REF!</v>
      </c>
      <c r="L12" s="370" t="e">
        <f aca="false">SUM(L10:L11)</f>
        <v>#REF!</v>
      </c>
      <c r="M12" s="370" t="e">
        <f aca="false">SUM(M10:M11)</f>
        <v>#REF!</v>
      </c>
      <c r="N12" s="370" t="e">
        <f aca="false">SUM(N10:N11)</f>
        <v>#REF!</v>
      </c>
      <c r="O12" s="370" t="e">
        <f aca="false">SUM(O10:O11)</f>
        <v>#REF!</v>
      </c>
      <c r="P12" s="370" t="e">
        <f aca="false">SUM(P10:P11)</f>
        <v>#REF!</v>
      </c>
      <c r="Q12" s="370" t="e">
        <f aca="false">SUM(Q10:Q11)</f>
        <v>#REF!</v>
      </c>
      <c r="R12" s="370" t="e">
        <f aca="false">SUM(R10:R11)</f>
        <v>#REF!</v>
      </c>
      <c r="S12" s="370" t="e">
        <f aca="false">SUM(S10:S11)</f>
        <v>#REF!</v>
      </c>
      <c r="T12" s="370" t="e">
        <f aca="false">SUM(T10:T11)</f>
        <v>#REF!</v>
      </c>
      <c r="U12" s="370" t="e">
        <f aca="false">SUM(U10:U11)</f>
        <v>#REF!</v>
      </c>
      <c r="V12" s="370" t="e">
        <f aca="false">SUM(V10:V11)</f>
        <v>#REF!</v>
      </c>
      <c r="W12" s="370" t="e">
        <f aca="false">SUM(W10:W11)</f>
        <v>#REF!</v>
      </c>
      <c r="X12" s="370" t="e">
        <f aca="false">SUM(X10:X11)</f>
        <v>#REF!</v>
      </c>
      <c r="Y12" s="370" t="e">
        <f aca="false">SUM(Y10:Y11)</f>
        <v>#REF!</v>
      </c>
      <c r="Z12" s="370" t="e">
        <f aca="false">SUM(Z10:Z11)</f>
        <v>#REF!</v>
      </c>
      <c r="AA12" s="370" t="e">
        <f aca="false">SUM(AA10:AA11)</f>
        <v>#REF!</v>
      </c>
      <c r="AB12" s="370" t="e">
        <f aca="false">SUM(AB10:AB11)</f>
        <v>#REF!</v>
      </c>
      <c r="AC12" s="370" t="e">
        <f aca="false">SUM(AC10:AC11)</f>
        <v>#REF!</v>
      </c>
      <c r="AD12" s="371" t="e">
        <f aca="false">SUM(AD10:AD11)</f>
        <v>#REF!</v>
      </c>
    </row>
    <row r="15" customFormat="false" ht="12.75" hidden="false" customHeight="false" outlineLevel="0" collapsed="false">
      <c r="A15" s="367" t="s">
        <v>336</v>
      </c>
      <c r="B15" s="17"/>
      <c r="C15" s="372" t="str">
        <f aca="false">ASS!T33</f>
        <v>   Tranche 1:</v>
      </c>
      <c r="D15" s="372"/>
      <c r="E15" s="372"/>
      <c r="F15" s="372"/>
      <c r="G15" s="372" t="str">
        <f aca="false">ASS!T41</f>
        <v>   Tranche 2:</v>
      </c>
      <c r="H15" s="372"/>
      <c r="I15" s="372"/>
      <c r="J15" s="372"/>
      <c r="K15" s="372" t="str">
        <f aca="false">ASS!T49</f>
        <v>   Tranche 3: Other</v>
      </c>
      <c r="L15" s="372"/>
      <c r="M15" s="372"/>
      <c r="N15" s="372"/>
      <c r="O15" s="372" t="str">
        <f aca="false">ASS!T57</f>
        <v>   Tranche 4: Other</v>
      </c>
      <c r="P15" s="372"/>
      <c r="Q15" s="372"/>
      <c r="R15" s="372"/>
      <c r="S15" s="372" t="str">
        <f aca="false">ASS!T65</f>
        <v>   Tranche 5: Other</v>
      </c>
      <c r="T15" s="372"/>
      <c r="U15" s="372"/>
      <c r="V15" s="372"/>
      <c r="W15" s="372" t="str">
        <f aca="false">ASS!T73</f>
        <v>   Tranche 6: Other</v>
      </c>
      <c r="X15" s="372"/>
      <c r="Y15" s="372"/>
      <c r="Z15" s="372"/>
      <c r="AA15" s="15"/>
      <c r="AB15" s="17"/>
    </row>
    <row r="16" customFormat="false" ht="12.75" hidden="false" customHeight="false" outlineLevel="0" collapsed="false">
      <c r="A16" s="373" t="s">
        <v>337</v>
      </c>
      <c r="B16" s="34"/>
      <c r="C16" s="29" t="s">
        <v>6</v>
      </c>
      <c r="D16" s="30"/>
      <c r="E16" s="129" t="e">
        <f aca="false">ASS!X34</f>
        <v>#REF!</v>
      </c>
      <c r="F16" s="34"/>
      <c r="G16" s="29" t="s">
        <v>6</v>
      </c>
      <c r="H16" s="30"/>
      <c r="I16" s="129" t="e">
        <f aca="false">ASS!X42</f>
        <v>#REF!</v>
      </c>
      <c r="J16" s="129"/>
      <c r="K16" s="29" t="s">
        <v>6</v>
      </c>
      <c r="L16" s="30"/>
      <c r="M16" s="335" t="e">
        <f aca="false">ASS!X50</f>
        <v>#REF!</v>
      </c>
      <c r="N16" s="335"/>
      <c r="O16" s="29" t="s">
        <v>6</v>
      </c>
      <c r="P16" s="30"/>
      <c r="Q16" s="335" t="e">
        <f aca="false">ASS!X58</f>
        <v>#REF!</v>
      </c>
      <c r="R16" s="34"/>
      <c r="S16" s="29" t="s">
        <v>6</v>
      </c>
      <c r="T16" s="30"/>
      <c r="U16" s="335" t="e">
        <f aca="false">ASS!X66</f>
        <v>#REF!</v>
      </c>
      <c r="V16" s="34"/>
      <c r="W16" s="29" t="s">
        <v>6</v>
      </c>
      <c r="X16" s="30"/>
      <c r="Y16" s="129" t="e">
        <f aca="false">ASS!X74</f>
        <v>#REF!</v>
      </c>
      <c r="Z16" s="34"/>
      <c r="AA16" s="30"/>
      <c r="AB16" s="34"/>
    </row>
    <row r="17" customFormat="false" ht="12.75" hidden="false" customHeight="false" outlineLevel="0" collapsed="false">
      <c r="A17" s="29"/>
      <c r="B17" s="34"/>
      <c r="C17" s="29" t="s">
        <v>338</v>
      </c>
      <c r="D17" s="30"/>
      <c r="E17" s="30" t="n">
        <f aca="false">ASS!X35</f>
        <v>0</v>
      </c>
      <c r="F17" s="34" t="s">
        <v>339</v>
      </c>
      <c r="G17" s="29" t="s">
        <v>338</v>
      </c>
      <c r="H17" s="30"/>
      <c r="I17" s="30" t="n">
        <f aca="false">ASS!X43</f>
        <v>0</v>
      </c>
      <c r="J17" s="34" t="s">
        <v>339</v>
      </c>
      <c r="K17" s="29" t="s">
        <v>338</v>
      </c>
      <c r="L17" s="30"/>
      <c r="M17" s="30" t="n">
        <f aca="false">ASS!X51</f>
        <v>0</v>
      </c>
      <c r="N17" s="34" t="s">
        <v>339</v>
      </c>
      <c r="O17" s="29" t="s">
        <v>338</v>
      </c>
      <c r="P17" s="30"/>
      <c r="Q17" s="30" t="n">
        <f aca="false">ASS!X59</f>
        <v>0</v>
      </c>
      <c r="R17" s="34" t="s">
        <v>339</v>
      </c>
      <c r="S17" s="29" t="s">
        <v>338</v>
      </c>
      <c r="T17" s="30"/>
      <c r="U17" s="30" t="n">
        <f aca="false">ASS!X67</f>
        <v>0</v>
      </c>
      <c r="V17" s="34" t="s">
        <v>339</v>
      </c>
      <c r="W17" s="29" t="s">
        <v>338</v>
      </c>
      <c r="X17" s="30"/>
      <c r="Y17" s="30" t="n">
        <f aca="false">ASS!X75</f>
        <v>0</v>
      </c>
      <c r="Z17" s="34" t="s">
        <v>339</v>
      </c>
      <c r="AA17" s="30"/>
      <c r="AB17" s="34"/>
    </row>
    <row r="18" customFormat="false" ht="12.75" hidden="false" customHeight="false" outlineLevel="0" collapsed="false">
      <c r="A18" s="29"/>
      <c r="B18" s="34"/>
      <c r="C18" s="29" t="s">
        <v>306</v>
      </c>
      <c r="D18" s="30"/>
      <c r="E18" s="72" t="n">
        <f aca="false">ASS!X38</f>
        <v>0</v>
      </c>
      <c r="F18" s="34"/>
      <c r="G18" s="29" t="s">
        <v>306</v>
      </c>
      <c r="H18" s="30"/>
      <c r="I18" s="72" t="n">
        <f aca="false">ASS!X46</f>
        <v>0</v>
      </c>
      <c r="J18" s="34"/>
      <c r="K18" s="29" t="s">
        <v>306</v>
      </c>
      <c r="L18" s="30"/>
      <c r="M18" s="72" t="n">
        <f aca="false">ASS!X54</f>
        <v>0</v>
      </c>
      <c r="N18" s="34"/>
      <c r="O18" s="29" t="s">
        <v>306</v>
      </c>
      <c r="P18" s="30"/>
      <c r="Q18" s="72" t="n">
        <f aca="false">ASS!X62</f>
        <v>0</v>
      </c>
      <c r="R18" s="34"/>
      <c r="S18" s="29" t="s">
        <v>306</v>
      </c>
      <c r="T18" s="30"/>
      <c r="U18" s="72" t="n">
        <f aca="false">ASS!X70</f>
        <v>0</v>
      </c>
      <c r="V18" s="34"/>
      <c r="W18" s="29" t="s">
        <v>306</v>
      </c>
      <c r="X18" s="30"/>
      <c r="Y18" s="72" t="n">
        <f aca="false">ASS!X78</f>
        <v>0</v>
      </c>
      <c r="Z18" s="34"/>
      <c r="AA18" s="30"/>
      <c r="AB18" s="34"/>
    </row>
    <row r="19" customFormat="false" ht="12.75" hidden="false" customHeight="false" outlineLevel="0" collapsed="false">
      <c r="A19" s="29"/>
      <c r="B19" s="34"/>
      <c r="C19" s="29" t="s">
        <v>340</v>
      </c>
      <c r="D19" s="30"/>
      <c r="E19" s="374" t="n">
        <f aca="false">ASS!$X$37</f>
        <v>0</v>
      </c>
      <c r="F19" s="34" t="s">
        <v>144</v>
      </c>
      <c r="G19" s="29" t="s">
        <v>340</v>
      </c>
      <c r="H19" s="30"/>
      <c r="I19" s="374" t="n">
        <f aca="false">ASS!$X$45</f>
        <v>0</v>
      </c>
      <c r="J19" s="34" t="s">
        <v>144</v>
      </c>
      <c r="K19" s="29" t="s">
        <v>340</v>
      </c>
      <c r="L19" s="30"/>
      <c r="M19" s="374" t="n">
        <f aca="false">ASS!$X$53</f>
        <v>0</v>
      </c>
      <c r="N19" s="34" t="s">
        <v>144</v>
      </c>
      <c r="O19" s="29" t="s">
        <v>340</v>
      </c>
      <c r="P19" s="30"/>
      <c r="Q19" s="374" t="n">
        <f aca="false">ASS!$X$61</f>
        <v>0</v>
      </c>
      <c r="R19" s="34" t="s">
        <v>144</v>
      </c>
      <c r="S19" s="29" t="s">
        <v>340</v>
      </c>
      <c r="T19" s="30"/>
      <c r="U19" s="374" t="n">
        <f aca="false">ASS!$X$69</f>
        <v>0</v>
      </c>
      <c r="V19" s="34" t="s">
        <v>144</v>
      </c>
      <c r="W19" s="29" t="s">
        <v>340</v>
      </c>
      <c r="X19" s="30"/>
      <c r="Y19" s="374" t="n">
        <f aca="false">ASS!$X$77</f>
        <v>0</v>
      </c>
      <c r="Z19" s="34" t="s">
        <v>144</v>
      </c>
      <c r="AA19" s="30"/>
      <c r="AB19" s="34"/>
    </row>
    <row r="20" customFormat="false" ht="12.75" hidden="false" customHeight="false" outlineLevel="0" collapsed="false">
      <c r="A20" s="29"/>
      <c r="B20" s="34"/>
      <c r="C20" s="29" t="str">
        <f aca="false">IF(ASS!$W$33=1,"STRAIGHT LINE AMORTIZATION",IF(ASS!$W$33=2,"MORTGAGE STYLE AMORTIZATION","CHECK"))</f>
        <v>CHECK</v>
      </c>
      <c r="D20" s="30"/>
      <c r="E20" s="30"/>
      <c r="F20" s="34"/>
      <c r="G20" s="29" t="str">
        <f aca="false">IF(ASS!$W$41=1,"STRAIGHT LINE AMORTIZATION",IF(ASS!$W$41=2,"MORTGAGE STYLE AMORTIZATION","CHECK"))</f>
        <v>CHECK</v>
      </c>
      <c r="H20" s="30"/>
      <c r="I20" s="30"/>
      <c r="J20" s="34"/>
      <c r="K20" s="29" t="str">
        <f aca="false">IF(ASS!$W$49=1,"STRAIGHT LINE AMORTIZATION",IF(ASS!$W$49=2,"MORTGAGE STYLE AMORTIZATION","CHECK"))</f>
        <v>CHECK</v>
      </c>
      <c r="L20" s="30"/>
      <c r="M20" s="30"/>
      <c r="N20" s="34"/>
      <c r="O20" s="29" t="str">
        <f aca="false">IF(ASS!$W$57=1,"STRAIGHT LINE AMORTIZATION",IF(ASS!$W$57=2,"MORTGAGE STYLE AMORTIZATION","CHECK"))</f>
        <v>CHECK</v>
      </c>
      <c r="P20" s="30"/>
      <c r="Q20" s="30"/>
      <c r="R20" s="34"/>
      <c r="S20" s="29" t="str">
        <f aca="false">IF(ASS!$W$65=1,"STRAIGHT LINE AMORTIZATION",IF(ASS!$W$65=2,"MORTGAGE STYLE AMORTIZATION","CHECK"))</f>
        <v>CHECK</v>
      </c>
      <c r="T20" s="30"/>
      <c r="U20" s="30"/>
      <c r="V20" s="34"/>
      <c r="W20" s="29" t="str">
        <f aca="false">IF(ASS!$W$73=1,"STRAIGHT LINE AMORTIZATION",IF(ASS!$W$73=2,"MORTGAGE STYLE AMORTIZATION","CHECK"))</f>
        <v>CHECK</v>
      </c>
      <c r="X20" s="30"/>
      <c r="Y20" s="30"/>
      <c r="Z20" s="34"/>
      <c r="AA20" s="375" t="s">
        <v>304</v>
      </c>
      <c r="AB20" s="376" t="s">
        <v>304</v>
      </c>
    </row>
    <row r="21" customFormat="false" ht="12.75" hidden="false" customHeight="false" outlineLevel="0" collapsed="false">
      <c r="A21" s="29"/>
      <c r="B21" s="34"/>
      <c r="C21" s="29"/>
      <c r="D21" s="30"/>
      <c r="E21" s="30"/>
      <c r="F21" s="34"/>
      <c r="G21" s="29"/>
      <c r="H21" s="30"/>
      <c r="I21" s="30"/>
      <c r="J21" s="34"/>
      <c r="K21" s="29"/>
      <c r="L21" s="30"/>
      <c r="M21" s="30"/>
      <c r="N21" s="34"/>
      <c r="O21" s="29"/>
      <c r="P21" s="30"/>
      <c r="Q21" s="30"/>
      <c r="R21" s="34"/>
      <c r="S21" s="29"/>
      <c r="T21" s="30"/>
      <c r="U21" s="30"/>
      <c r="V21" s="34"/>
      <c r="W21" s="29"/>
      <c r="X21" s="30"/>
      <c r="Y21" s="30"/>
      <c r="Z21" s="34"/>
      <c r="AA21" s="30"/>
      <c r="AB21" s="34"/>
    </row>
    <row r="22" customFormat="false" ht="12.75" hidden="false" customHeight="false" outlineLevel="0" collapsed="false">
      <c r="A22" s="331" t="s">
        <v>341</v>
      </c>
      <c r="B22" s="37" t="s">
        <v>342</v>
      </c>
      <c r="C22" s="331" t="s">
        <v>343</v>
      </c>
      <c r="D22" s="36" t="s">
        <v>344</v>
      </c>
      <c r="E22" s="36" t="s">
        <v>345</v>
      </c>
      <c r="F22" s="37" t="s">
        <v>346</v>
      </c>
      <c r="G22" s="331" t="s">
        <v>343</v>
      </c>
      <c r="H22" s="36" t="s">
        <v>344</v>
      </c>
      <c r="I22" s="36" t="s">
        <v>345</v>
      </c>
      <c r="J22" s="37" t="s">
        <v>346</v>
      </c>
      <c r="K22" s="331" t="s">
        <v>343</v>
      </c>
      <c r="L22" s="36" t="s">
        <v>344</v>
      </c>
      <c r="M22" s="36" t="s">
        <v>345</v>
      </c>
      <c r="N22" s="37" t="s">
        <v>346</v>
      </c>
      <c r="O22" s="331" t="s">
        <v>343</v>
      </c>
      <c r="P22" s="36" t="s">
        <v>344</v>
      </c>
      <c r="Q22" s="36" t="s">
        <v>345</v>
      </c>
      <c r="R22" s="37" t="s">
        <v>346</v>
      </c>
      <c r="S22" s="331" t="s">
        <v>343</v>
      </c>
      <c r="T22" s="36" t="s">
        <v>344</v>
      </c>
      <c r="U22" s="36" t="s">
        <v>345</v>
      </c>
      <c r="V22" s="37" t="s">
        <v>346</v>
      </c>
      <c r="W22" s="331" t="s">
        <v>343</v>
      </c>
      <c r="X22" s="36" t="s">
        <v>344</v>
      </c>
      <c r="Y22" s="36" t="s">
        <v>345</v>
      </c>
      <c r="Z22" s="37" t="s">
        <v>346</v>
      </c>
      <c r="AA22" s="36" t="s">
        <v>344</v>
      </c>
      <c r="AB22" s="37" t="s">
        <v>345</v>
      </c>
    </row>
    <row r="23" customFormat="false" ht="12.75" hidden="false" customHeight="false" outlineLevel="0" collapsed="false">
      <c r="A23" s="29" t="n">
        <f aca="false">STARTYR</f>
        <v>2001</v>
      </c>
      <c r="B23" s="34" t="n">
        <f aca="false">IF(MOSYR1&gt;1,0,1)</f>
        <v>0</v>
      </c>
      <c r="C23" s="377" t="e">
        <f aca="false">E16</f>
        <v>#REF!</v>
      </c>
      <c r="D23" s="129" t="e">
        <f aca="false">IF($C23&gt;0,IF(D7&gt;6,C23*(D7-6)/12*E18,0),0)</f>
        <v>#REF!</v>
      </c>
      <c r="E23" s="129" t="n">
        <f aca="false">IF(D7&lt;12,0,IF($E$19&gt;=B23,0,IF(C23&gt;1,IF(ASS!$W$33=1,$E$16/(($E$17*2)-$E$19),-PMT($E$18/2,($E$17*2-$E$19),$E$16,0)-D23),0)))</f>
        <v>0</v>
      </c>
      <c r="F23" s="128" t="e">
        <f aca="false">C23-E23</f>
        <v>#REF!</v>
      </c>
      <c r="G23" s="377" t="e">
        <f aca="false">I16</f>
        <v>#REF!</v>
      </c>
      <c r="H23" s="129" t="e">
        <f aca="false">IF($G23&gt;0,IF(D7&gt;6,G23*(D7-6)/12*I18,0),0)</f>
        <v>#REF!</v>
      </c>
      <c r="I23" s="129" t="n">
        <f aca="false">IF(D7&lt;12,0,IF($I$19&gt;=$B23,0,IF(G23&gt;1,IF(ASS!$W$41=1,$I$16/(($I$17*2)-$I$19),-PMT($I$18/2,($I$17*2-$I$19),$I$16,0)-H23),0)))</f>
        <v>0</v>
      </c>
      <c r="J23" s="128" t="e">
        <f aca="false">G23-I23</f>
        <v>#REF!</v>
      </c>
      <c r="K23" s="377" t="e">
        <f aca="false">M16</f>
        <v>#REF!</v>
      </c>
      <c r="L23" s="129" t="e">
        <f aca="false">IF($K23&gt;0,IF(D7&gt;6,K23*(D7-6)/12*M18,0),0)</f>
        <v>#REF!</v>
      </c>
      <c r="M23" s="129" t="n">
        <f aca="false">IF(D7&lt;12,0,IF($M$19&gt;=$B23,0,IF(K23&gt;1,IF(ASS!$W$49=1,$M$16/(($M$17*2)-$M$19),-PMT($M$18/2,($M$17*2-$M$19),$M$16,0)-L23),0)))</f>
        <v>0</v>
      </c>
      <c r="N23" s="128" t="e">
        <f aca="false">K23-M23</f>
        <v>#REF!</v>
      </c>
      <c r="O23" s="377" t="e">
        <f aca="false">Q16</f>
        <v>#REF!</v>
      </c>
      <c r="P23" s="129" t="e">
        <f aca="false">IF($O23&gt;0,IF(D7&gt;6,O23*(D7-6)/12*Q18,0),0)</f>
        <v>#REF!</v>
      </c>
      <c r="Q23" s="129" t="n">
        <f aca="false">IF(D7&lt;12,0,IF($Q$19&gt;=B23,0,IF(O23&gt;1,IF(ASS!$W$57=1,$Q$16/(($Q$17*2)-$Q$19),-PMT($Q$18/2,($Q$17*2-$Q$19),$Q$16,0)-P23),0)))</f>
        <v>0</v>
      </c>
      <c r="R23" s="128" t="e">
        <f aca="false">O23-Q23</f>
        <v>#REF!</v>
      </c>
      <c r="S23" s="377" t="e">
        <f aca="false">U16</f>
        <v>#REF!</v>
      </c>
      <c r="T23" s="129" t="e">
        <f aca="false">IF(S23&gt;0,IF($D7&gt;6,S23*($D7-6)/12*U18,0),0)</f>
        <v>#REF!</v>
      </c>
      <c r="U23" s="129" t="n">
        <f aca="false">IF(D7&lt;12,0,IF($U$19&gt;=B23,0,IF(S23&gt;1,IF(ASS!$W$65=1,$U$16/(($U$17*2)-$U$19),-PMT($U$18/2,($U$17*2-$U$19),$U$16,0)-T23),0)))</f>
        <v>0</v>
      </c>
      <c r="V23" s="128" t="e">
        <f aca="false">S23-U23</f>
        <v>#REF!</v>
      </c>
      <c r="W23" s="377" t="e">
        <f aca="false">Y16</f>
        <v>#REF!</v>
      </c>
      <c r="X23" s="129" t="e">
        <f aca="false">IF(W23&gt;0,IF($D7&gt;6,W23*($D7-6)/12*Y18,0),0)</f>
        <v>#REF!</v>
      </c>
      <c r="Y23" s="129" t="n">
        <f aca="false">IF(D7&lt;12,0,IF($Y$19&gt;=B23,0,IF(W23&gt;1,IF(ASS!$W$73=1,$Y$16/(($Y$17*2)-$Y$19),-PMT($Y$18/2,($Y$17*2-$Y$19),$Y$16,0)-X23),0)))</f>
        <v>0</v>
      </c>
      <c r="Z23" s="128" t="e">
        <f aca="false">W23-Y23</f>
        <v>#REF!</v>
      </c>
      <c r="AA23" s="129"/>
      <c r="AB23" s="128"/>
    </row>
    <row r="24" customFormat="false" ht="12.75" hidden="false" customHeight="false" outlineLevel="0" collapsed="false">
      <c r="A24" s="57" t="n">
        <f aca="false">A23</f>
        <v>2001</v>
      </c>
      <c r="B24" s="68" t="n">
        <f aca="false">B23+1</f>
        <v>1</v>
      </c>
      <c r="C24" s="378" t="e">
        <f aca="false">F23</f>
        <v>#REF!</v>
      </c>
      <c r="D24" s="379" t="e">
        <f aca="false">IF($D$7&gt;6,C24*$E$18*0.5,C24*E18*$D$7/12)</f>
        <v>#REF!</v>
      </c>
      <c r="E24" s="380" t="e">
        <f aca="false">IF($E$19&gt;=B24,0,IF(C24&gt;1,IF(ASS!$W$33=1,$E$16/(($E$17*2)-$E$19),-PMT($E$18/2,($E$17*2-B23),C24,0)-D24),0))</f>
        <v>#REF!</v>
      </c>
      <c r="F24" s="132" t="e">
        <f aca="false">C24-E24</f>
        <v>#REF!</v>
      </c>
      <c r="G24" s="378" t="e">
        <f aca="false">J23</f>
        <v>#REF!</v>
      </c>
      <c r="H24" s="379" t="e">
        <f aca="false">IF($D$7&gt;6,G24*$I$18*0.5,G24*$I$18*$D$7/12)</f>
        <v>#REF!</v>
      </c>
      <c r="I24" s="380" t="e">
        <f aca="false">IF($I$19&gt;=B24,0,IF(G24&gt;1,IF(ASS!$W$41=1,$I$16/(($I$17*2)-$I$19),-PMT($I$18/2,($I$17*2-B23),G24,0)-H24),0))</f>
        <v>#REF!</v>
      </c>
      <c r="J24" s="132" t="e">
        <f aca="false">G24-I24</f>
        <v>#REF!</v>
      </c>
      <c r="K24" s="378" t="e">
        <f aca="false">N23</f>
        <v>#REF!</v>
      </c>
      <c r="L24" s="379" t="e">
        <f aca="false">IF($D$7&gt;6,K24*$M$18*0.5,K24*$M$18*$D$7/12)</f>
        <v>#REF!</v>
      </c>
      <c r="M24" s="380" t="e">
        <f aca="false">IF($M$19&gt;=B24,0,IF(K24&gt;1,IF(ASS!$W$49=1,$M$16/(($M$17*2)-$M$19),-PMT($M$18/2,($M$17*2-B23),K24,0)-L24),0))</f>
        <v>#REF!</v>
      </c>
      <c r="N24" s="132" t="e">
        <f aca="false">K24-M24</f>
        <v>#REF!</v>
      </c>
      <c r="O24" s="378" t="e">
        <f aca="false">R23</f>
        <v>#REF!</v>
      </c>
      <c r="P24" s="379" t="e">
        <f aca="false">IF($D$7&gt;6,O24*$Q$18*0.5,O24*$Q$18*$D$7/12)</f>
        <v>#REF!</v>
      </c>
      <c r="Q24" s="380" t="e">
        <f aca="false">IF($Q$19&gt;=B24,0,IF(O24&gt;1,IF(ASS!$W$57=1,$Q$16/(($Q$17*2)-$Q$19),-PMT($Q$18/2,($Q$17*2-B23),O24,0)-P24),0))</f>
        <v>#REF!</v>
      </c>
      <c r="R24" s="132" t="e">
        <f aca="false">O24-Q24</f>
        <v>#REF!</v>
      </c>
      <c r="S24" s="378" t="e">
        <f aca="false">V23</f>
        <v>#REF!</v>
      </c>
      <c r="T24" s="379" t="e">
        <f aca="false">IF($D$7&gt;6,S24*$U$18*0.5,S24*$U$18*$D$7/12)</f>
        <v>#REF!</v>
      </c>
      <c r="U24" s="380" t="e">
        <f aca="false">IF($U$19&gt;=B24,0,IF(S24&gt;1,IF(ASS!$W$65=1,$U$16/(($U$17*2)-$U$19),-PMT($U$18/2,($U$17*2-B23),S24,0)-T24),0))</f>
        <v>#REF!</v>
      </c>
      <c r="V24" s="132" t="e">
        <f aca="false">S24-U24</f>
        <v>#REF!</v>
      </c>
      <c r="W24" s="378" t="e">
        <f aca="false">Z23</f>
        <v>#REF!</v>
      </c>
      <c r="X24" s="379" t="e">
        <f aca="false">IF($D$7&gt;6,W24*$Y$18*0.5,W24*$Y$18*$D$7/12)</f>
        <v>#REF!</v>
      </c>
      <c r="Y24" s="380" t="e">
        <f aca="false">IF($Y$19&gt;=B24,0,IF(W24&gt;1,IF(ASS!$W$73=1,$Y$16/(($Y$17*2)-$Y$19),-PMT($Y$18/2,($Y$17*2-B23),W24,0)-X24),0))</f>
        <v>#REF!</v>
      </c>
      <c r="Z24" s="132" t="e">
        <f aca="false">W24-Y24</f>
        <v>#REF!</v>
      </c>
      <c r="AA24" s="379" t="e">
        <f aca="false">SUM(D23:D24,H23:H24,L23:L24,P23:P24,T23:T24,X23:X24)</f>
        <v>#REF!</v>
      </c>
      <c r="AB24" s="132" t="e">
        <f aca="false">SUM(E23:E24,I23:I24,M23:M24,Q23:Q24,U23:U24,Y23:Y24)</f>
        <v>#REF!</v>
      </c>
    </row>
    <row r="25" customFormat="false" ht="12.75" hidden="false" customHeight="false" outlineLevel="0" collapsed="false">
      <c r="A25" s="29" t="n">
        <f aca="false">A23+1</f>
        <v>2002</v>
      </c>
      <c r="B25" s="34" t="n">
        <f aca="false">B24+1</f>
        <v>2</v>
      </c>
      <c r="C25" s="377" t="e">
        <f aca="false">F24</f>
        <v>#REF!</v>
      </c>
      <c r="D25" s="129" t="e">
        <f aca="false">C25*$E$18*0.5</f>
        <v>#REF!</v>
      </c>
      <c r="E25" s="129" t="e">
        <f aca="false">IF($E$19&gt;=B25,0,IF(C25&gt;1,IF(ASS!$W$33=1,$E$16/(($E$17*2)-$E$19),-PMT($E$18/2,($E$17*2-B24),C25,0)-D25),0))</f>
        <v>#REF!</v>
      </c>
      <c r="F25" s="128" t="e">
        <f aca="false">C25-E25</f>
        <v>#REF!</v>
      </c>
      <c r="G25" s="377" t="e">
        <f aca="false">J24</f>
        <v>#REF!</v>
      </c>
      <c r="H25" s="129" t="e">
        <f aca="false">G25*$I$18*0.5</f>
        <v>#REF!</v>
      </c>
      <c r="I25" s="129" t="e">
        <f aca="false">IF($I$19&gt;=B25,0,IF(G25&gt;1,IF(ASS!$W$41=1,$I$16/(($I$17*2)-$I$19),-PMT($I$18/2,($I$17*2-B24),G25,0)-H25),0))</f>
        <v>#REF!</v>
      </c>
      <c r="J25" s="128" t="e">
        <f aca="false">G25-I25</f>
        <v>#REF!</v>
      </c>
      <c r="K25" s="377" t="e">
        <f aca="false">N24</f>
        <v>#REF!</v>
      </c>
      <c r="L25" s="129" t="e">
        <f aca="false">K25*$M$18*0.5</f>
        <v>#REF!</v>
      </c>
      <c r="M25" s="129" t="e">
        <f aca="false">IF($M$19&gt;=B25,0,IF(K25&gt;1,IF(ASS!$W$49=1,$M$16/(($M$17*2)-$M$19),-PMT($M$18/2,($M$17*2-B24),K25,0)-L25),0))</f>
        <v>#REF!</v>
      </c>
      <c r="N25" s="128" t="e">
        <f aca="false">K25-M25</f>
        <v>#REF!</v>
      </c>
      <c r="O25" s="377" t="e">
        <f aca="false">R24</f>
        <v>#REF!</v>
      </c>
      <c r="P25" s="129" t="e">
        <f aca="false">O25*$Q$18*0.5</f>
        <v>#REF!</v>
      </c>
      <c r="Q25" s="129" t="e">
        <f aca="false">IF($Q$19&gt;=B25,0,IF(O25&gt;1,IF(ASS!$W$57=1,$Q$16/(($Q$17*2)-$Q$19),-PMT($Q$18/2,($Q$17*2-B24),O25,0)-P25),0))</f>
        <v>#REF!</v>
      </c>
      <c r="R25" s="128" t="e">
        <f aca="false">O25-Q25</f>
        <v>#REF!</v>
      </c>
      <c r="S25" s="377" t="e">
        <f aca="false">V24</f>
        <v>#REF!</v>
      </c>
      <c r="T25" s="129" t="e">
        <f aca="false">S25*$U$18*0.5</f>
        <v>#REF!</v>
      </c>
      <c r="U25" s="129" t="e">
        <f aca="false">IF($U$19&gt;=B25,0,IF(S25&gt;1,IF(ASS!$W$65=1,$U$16/(($U$17*2)-$U$19),-PMT($U$18/2,($U$17*2-B24),S25,0)-T25),0))</f>
        <v>#REF!</v>
      </c>
      <c r="V25" s="128" t="e">
        <f aca="false">S25-U25</f>
        <v>#REF!</v>
      </c>
      <c r="W25" s="377" t="e">
        <f aca="false">Z24</f>
        <v>#REF!</v>
      </c>
      <c r="X25" s="129" t="e">
        <f aca="false">W25*$Y$18*0.5</f>
        <v>#REF!</v>
      </c>
      <c r="Y25" s="129" t="e">
        <f aca="false">IF($Y$19&gt;=B25,0,IF(W25&gt;1,IF(ASS!$W$73=1,$Y$16/(($Y$17*2)-$Y$19),-PMT($Y$18/2,($Y$17*2-B24),W25,0)-X25),0))</f>
        <v>#REF!</v>
      </c>
      <c r="Z25" s="128" t="e">
        <f aca="false">W25-Y25</f>
        <v>#REF!</v>
      </c>
      <c r="AA25" s="129"/>
      <c r="AB25" s="128"/>
    </row>
    <row r="26" customFormat="false" ht="12.75" hidden="false" customHeight="false" outlineLevel="0" collapsed="false">
      <c r="A26" s="57" t="n">
        <f aca="false">A25</f>
        <v>2002</v>
      </c>
      <c r="B26" s="68" t="n">
        <f aca="false">B25+1</f>
        <v>3</v>
      </c>
      <c r="C26" s="378" t="e">
        <f aca="false">F25</f>
        <v>#REF!</v>
      </c>
      <c r="D26" s="379" t="e">
        <f aca="false">C26*$E$18*0.5</f>
        <v>#REF!</v>
      </c>
      <c r="E26" s="379" t="e">
        <f aca="false">IF($E$19&gt;=B26,0,IF(C26&gt;1,IF(ASS!$W$33=1,$E$16/(($E$17*2)-$E$19),-PMT($E$18/2,($E$17*2-B25),C26,0)-D26),0))</f>
        <v>#REF!</v>
      </c>
      <c r="F26" s="132" t="e">
        <f aca="false">C26-E26</f>
        <v>#REF!</v>
      </c>
      <c r="G26" s="378" t="e">
        <f aca="false">J25</f>
        <v>#REF!</v>
      </c>
      <c r="H26" s="379" t="e">
        <f aca="false">G26*$I$18*0.5</f>
        <v>#REF!</v>
      </c>
      <c r="I26" s="379" t="e">
        <f aca="false">IF($I$19&gt;=B26,0,IF(G26&gt;1,IF(ASS!$W$41=1,$I$16/(($I$17*2)-$I$19),-PMT($I$18/2,($I$17*2-B25),G26,0)-H26),0))</f>
        <v>#REF!</v>
      </c>
      <c r="J26" s="132" t="e">
        <f aca="false">G26-I26</f>
        <v>#REF!</v>
      </c>
      <c r="K26" s="378" t="e">
        <f aca="false">N25</f>
        <v>#REF!</v>
      </c>
      <c r="L26" s="379" t="e">
        <f aca="false">K26*$M$18*0.5</f>
        <v>#REF!</v>
      </c>
      <c r="M26" s="379" t="e">
        <f aca="false">IF($M$19&gt;=B26,0,IF(K26&gt;1,IF(ASS!$W$49=1,$M$16/(($M$17*2)-$M$19),-PMT($M$18/2,($M$17*2-B25),K26,0)-L26),0))</f>
        <v>#REF!</v>
      </c>
      <c r="N26" s="132" t="e">
        <f aca="false">K26-M26</f>
        <v>#REF!</v>
      </c>
      <c r="O26" s="378" t="e">
        <f aca="false">R25</f>
        <v>#REF!</v>
      </c>
      <c r="P26" s="379" t="e">
        <f aca="false">O26*$Q$18*0.5</f>
        <v>#REF!</v>
      </c>
      <c r="Q26" s="379" t="e">
        <f aca="false">IF($Q$19&gt;=B26,0,IF(O26&gt;1,IF(ASS!$W$57=1,$Q$16/(($Q$17*2)-$Q$19),-PMT($Q$18/2,($Q$17*2-B25),O26,0)-P26),0))</f>
        <v>#REF!</v>
      </c>
      <c r="R26" s="132" t="e">
        <f aca="false">O26-Q26</f>
        <v>#REF!</v>
      </c>
      <c r="S26" s="378" t="e">
        <f aca="false">V25</f>
        <v>#REF!</v>
      </c>
      <c r="T26" s="379" t="e">
        <f aca="false">S26*$U$18*0.5</f>
        <v>#REF!</v>
      </c>
      <c r="U26" s="379" t="e">
        <f aca="false">IF($U$19&gt;=B26,0,IF(S26&gt;1,IF(ASS!$W$65=1,$U$16/(($U$17*2)-$U$19),-PMT($U$18/2,($U$17*2-B25),S26,0)-T26),0))</f>
        <v>#REF!</v>
      </c>
      <c r="V26" s="132" t="e">
        <f aca="false">S26-U26</f>
        <v>#REF!</v>
      </c>
      <c r="W26" s="378" t="e">
        <f aca="false">Z25</f>
        <v>#REF!</v>
      </c>
      <c r="X26" s="379" t="e">
        <f aca="false">W26*$Y$18*0.5</f>
        <v>#REF!</v>
      </c>
      <c r="Y26" s="379" t="e">
        <f aca="false">IF($Y$19&gt;=B26,0,IF(W26&gt;1,IF(ASS!$W$73=1,$Y$16/(($Y$17*2)-$Y$19),-PMT($Y$18/2,($Y$17*2-B25),W26,0)-X26),0))</f>
        <v>#REF!</v>
      </c>
      <c r="Z26" s="132" t="e">
        <f aca="false">W26-Y26</f>
        <v>#REF!</v>
      </c>
      <c r="AA26" s="379" t="e">
        <f aca="false">SUM(D25:D26,H25:H26,L25:L26,P25:P26,T25:T26,X25:X26)</f>
        <v>#REF!</v>
      </c>
      <c r="AB26" s="132" t="e">
        <f aca="false">SUM(E25:E26,I25:I26,M25:M26,Q25:Q26,U25:U26,Y25:Y26)</f>
        <v>#REF!</v>
      </c>
    </row>
    <row r="27" customFormat="false" ht="12.75" hidden="false" customHeight="false" outlineLevel="0" collapsed="false">
      <c r="A27" s="29" t="n">
        <f aca="false">A25+1</f>
        <v>2003</v>
      </c>
      <c r="B27" s="34" t="n">
        <f aca="false">B26+1</f>
        <v>4</v>
      </c>
      <c r="C27" s="377" t="e">
        <f aca="false">F26</f>
        <v>#REF!</v>
      </c>
      <c r="D27" s="129" t="e">
        <f aca="false">C27*$E$18*0.5</f>
        <v>#REF!</v>
      </c>
      <c r="E27" s="129" t="e">
        <f aca="false">IF($E$19&gt;=B27,0,IF(C27&gt;1,IF(ASS!$W$33=1,$E$16/(($E$17*2)-$E$19),-PMT($E$18/2,($E$17*2-B26),C27,0)-D27),0))</f>
        <v>#REF!</v>
      </c>
      <c r="F27" s="128" t="e">
        <f aca="false">C27-E27</f>
        <v>#REF!</v>
      </c>
      <c r="G27" s="377" t="e">
        <f aca="false">J26</f>
        <v>#REF!</v>
      </c>
      <c r="H27" s="129" t="e">
        <f aca="false">G27*$I$18*0.5</f>
        <v>#REF!</v>
      </c>
      <c r="I27" s="129" t="e">
        <f aca="false">IF($I$19&gt;=B27,0,IF(G27&gt;1,IF(ASS!$W$41=1,$I$16/(($I$17*2)-$I$19),-PMT($I$18/2,($I$17*2-B26),G27,0)-H27),0))</f>
        <v>#REF!</v>
      </c>
      <c r="J27" s="128" t="e">
        <f aca="false">G27-I27</f>
        <v>#REF!</v>
      </c>
      <c r="K27" s="377" t="e">
        <f aca="false">N26</f>
        <v>#REF!</v>
      </c>
      <c r="L27" s="129" t="e">
        <f aca="false">K27*$M$18*0.5</f>
        <v>#REF!</v>
      </c>
      <c r="M27" s="129" t="e">
        <f aca="false">IF($M$19&gt;=B27,0,IF(K27&gt;1,IF(ASS!$W$49=1,$M$16/(($M$17*2)-$M$19),-PMT($M$18/2,($M$17*2-B26),K27,0)-L27),0))</f>
        <v>#REF!</v>
      </c>
      <c r="N27" s="128" t="e">
        <f aca="false">K27-M27</f>
        <v>#REF!</v>
      </c>
      <c r="O27" s="377" t="e">
        <f aca="false">R26</f>
        <v>#REF!</v>
      </c>
      <c r="P27" s="129" t="e">
        <f aca="false">O27*$Q$18*0.5</f>
        <v>#REF!</v>
      </c>
      <c r="Q27" s="129" t="e">
        <f aca="false">IF($Q$19&gt;=B27,0,IF(O27&gt;1,IF(ASS!$W$57=1,$Q$16/(($Q$17*2)-$Q$19),-PMT($Q$18/2,($Q$17*2-B26),O27,0)-P27),0))</f>
        <v>#REF!</v>
      </c>
      <c r="R27" s="128" t="e">
        <f aca="false">O27-Q27</f>
        <v>#REF!</v>
      </c>
      <c r="S27" s="377" t="e">
        <f aca="false">V26</f>
        <v>#REF!</v>
      </c>
      <c r="T27" s="129" t="e">
        <f aca="false">S27*$U$18*0.5</f>
        <v>#REF!</v>
      </c>
      <c r="U27" s="129" t="e">
        <f aca="false">IF($U$19&gt;=B27,0,IF(S27&gt;1,IF(ASS!$W$65=1,$U$16/(($U$17*2)-$U$19),-PMT($U$18/2,($U$17*2-B26),S27,0)-T27),0))</f>
        <v>#REF!</v>
      </c>
      <c r="V27" s="128" t="e">
        <f aca="false">S27-U27</f>
        <v>#REF!</v>
      </c>
      <c r="W27" s="377" t="e">
        <f aca="false">Z26</f>
        <v>#REF!</v>
      </c>
      <c r="X27" s="129" t="e">
        <f aca="false">W27*$Y$18*0.5</f>
        <v>#REF!</v>
      </c>
      <c r="Y27" s="129" t="e">
        <f aca="false">IF($Y$19&gt;=B27,0,IF(W27&gt;1,IF(ASS!$W$73=1,$Y$16/(($Y$17*2)-$Y$19),-PMT($Y$18/2,($Y$17*2-B26),W27,0)-X27),0))</f>
        <v>#REF!</v>
      </c>
      <c r="Z27" s="128" t="e">
        <f aca="false">W27-Y27</f>
        <v>#REF!</v>
      </c>
      <c r="AA27" s="129"/>
      <c r="AB27" s="128"/>
    </row>
    <row r="28" customFormat="false" ht="12.75" hidden="false" customHeight="false" outlineLevel="0" collapsed="false">
      <c r="A28" s="57" t="n">
        <f aca="false">A26+1</f>
        <v>2003</v>
      </c>
      <c r="B28" s="68" t="n">
        <f aca="false">B27+1</f>
        <v>5</v>
      </c>
      <c r="C28" s="378" t="e">
        <f aca="false">F27</f>
        <v>#REF!</v>
      </c>
      <c r="D28" s="379" t="e">
        <f aca="false">C28*$E$18*0.5</f>
        <v>#REF!</v>
      </c>
      <c r="E28" s="379" t="e">
        <f aca="false">IF($E$19&gt;=B28,0,IF(C28&gt;1,IF(ASS!$W$33=1,$E$16/(($E$17*2)-$E$19),-PMT($E$18/2,($E$17*2-B27),C28,0)-D28),0))</f>
        <v>#REF!</v>
      </c>
      <c r="F28" s="132" t="e">
        <f aca="false">C28-E28</f>
        <v>#REF!</v>
      </c>
      <c r="G28" s="378" t="e">
        <f aca="false">J27</f>
        <v>#REF!</v>
      </c>
      <c r="H28" s="379" t="e">
        <f aca="false">G28*$I$18*0.5</f>
        <v>#REF!</v>
      </c>
      <c r="I28" s="379" t="e">
        <f aca="false">IF($I$19&gt;=B28,0,IF(G28&gt;1,IF(ASS!$W$41=1,$I$16/(($I$17*2)-$I$19),-PMT($I$18/2,($I$17*2-B27),G28,0)-H28),0))</f>
        <v>#REF!</v>
      </c>
      <c r="J28" s="132" t="e">
        <f aca="false">G28-I28</f>
        <v>#REF!</v>
      </c>
      <c r="K28" s="378" t="e">
        <f aca="false">N27</f>
        <v>#REF!</v>
      </c>
      <c r="L28" s="379" t="e">
        <f aca="false">K28*$M$18*0.5</f>
        <v>#REF!</v>
      </c>
      <c r="M28" s="379" t="e">
        <f aca="false">IF($M$19&gt;=B28,0,IF(K28&gt;1,IF(ASS!$W$49=1,$M$16/(($M$17*2)-$M$19),-PMT($M$18/2,($M$17*2-B27),K28,0)-L28),0))</f>
        <v>#REF!</v>
      </c>
      <c r="N28" s="132" t="e">
        <f aca="false">K28-M28</f>
        <v>#REF!</v>
      </c>
      <c r="O28" s="378" t="e">
        <f aca="false">R27</f>
        <v>#REF!</v>
      </c>
      <c r="P28" s="379" t="e">
        <f aca="false">O28*$Q$18*0.5</f>
        <v>#REF!</v>
      </c>
      <c r="Q28" s="379" t="e">
        <f aca="false">IF($Q$19&gt;=B28,0,IF(O28&gt;1,IF(ASS!$W$57=1,$Q$16/(($Q$17*2)-$Q$19),-PMT($Q$18/2,($Q$17*2-B27),O28,0)-P28),0))</f>
        <v>#REF!</v>
      </c>
      <c r="R28" s="132" t="e">
        <f aca="false">O28-Q28</f>
        <v>#REF!</v>
      </c>
      <c r="S28" s="378" t="e">
        <f aca="false">V27</f>
        <v>#REF!</v>
      </c>
      <c r="T28" s="379" t="e">
        <f aca="false">S28*$U$18*0.5</f>
        <v>#REF!</v>
      </c>
      <c r="U28" s="379" t="e">
        <f aca="false">IF($U$19&gt;=B28,0,IF(S28&gt;1,IF(ASS!$W$65=1,$U$16/(($U$17*2)-$U$19),-PMT($U$18/2,($U$17*2-B27),S28,0)-T28),0))</f>
        <v>#REF!</v>
      </c>
      <c r="V28" s="132" t="e">
        <f aca="false">S28-U28</f>
        <v>#REF!</v>
      </c>
      <c r="W28" s="378" t="e">
        <f aca="false">Z27</f>
        <v>#REF!</v>
      </c>
      <c r="X28" s="379" t="e">
        <f aca="false">W28*$Y$18*0.5</f>
        <v>#REF!</v>
      </c>
      <c r="Y28" s="379" t="e">
        <f aca="false">IF($Y$19&gt;=B28,0,IF(W28&gt;1,IF(ASS!$W$73=1,$Y$16/(($Y$17*2)-$Y$19),-PMT($Y$18/2,($Y$17*2-B27),W28,0)-X28),0))</f>
        <v>#REF!</v>
      </c>
      <c r="Z28" s="132" t="e">
        <f aca="false">W28-Y28</f>
        <v>#REF!</v>
      </c>
      <c r="AA28" s="379" t="e">
        <f aca="false">SUM(D27:D28,H27:H28,L27:L28,P27:P28,T27:T28,X27:X28)</f>
        <v>#REF!</v>
      </c>
      <c r="AB28" s="132" t="e">
        <f aca="false">SUM(E27:E28,I27:I28,M27:M28,Q27:Q28,U27:U28,Y27:Y28)</f>
        <v>#REF!</v>
      </c>
    </row>
    <row r="29" customFormat="false" ht="12.75" hidden="false" customHeight="false" outlineLevel="0" collapsed="false">
      <c r="A29" s="29" t="n">
        <f aca="false">A27+1</f>
        <v>2004</v>
      </c>
      <c r="B29" s="34" t="n">
        <f aca="false">B28+1</f>
        <v>6</v>
      </c>
      <c r="C29" s="377" t="e">
        <f aca="false">F28</f>
        <v>#REF!</v>
      </c>
      <c r="D29" s="129" t="e">
        <f aca="false">C29*$E$18*0.5</f>
        <v>#REF!</v>
      </c>
      <c r="E29" s="129" t="e">
        <f aca="false">IF($E$19&gt;=B29,0,IF(C29&gt;1,IF(ASS!$W$33=1,$E$16/(($E$17*2)-$E$19),-PMT($E$18/2,($E$17*2-B28),C29,0)-D29),0))</f>
        <v>#REF!</v>
      </c>
      <c r="F29" s="128" t="e">
        <f aca="false">C29-E29</f>
        <v>#REF!</v>
      </c>
      <c r="G29" s="377" t="e">
        <f aca="false">J28</f>
        <v>#REF!</v>
      </c>
      <c r="H29" s="129" t="e">
        <f aca="false">G29*$I$18*0.5</f>
        <v>#REF!</v>
      </c>
      <c r="I29" s="129" t="e">
        <f aca="false">IF($I$19&gt;=B29,0,IF(G29&gt;1,IF(ASS!$W$41=1,$I$16/(($I$17*2)-$I$19),-PMT($I$18/2,($I$17*2-B28),G29,0)-H29),0))</f>
        <v>#REF!</v>
      </c>
      <c r="J29" s="128" t="e">
        <f aca="false">G29-I29</f>
        <v>#REF!</v>
      </c>
      <c r="K29" s="377" t="e">
        <f aca="false">N28</f>
        <v>#REF!</v>
      </c>
      <c r="L29" s="129" t="e">
        <f aca="false">K29*$M$18*0.5</f>
        <v>#REF!</v>
      </c>
      <c r="M29" s="129" t="e">
        <f aca="false">IF($M$19&gt;=B29,0,IF(K29&gt;1,IF(ASS!$W$49=1,$M$16/(($M$17*2)-$M$19),-PMT($M$18/2,($M$17*2-B28),K29,0)-L29),0))</f>
        <v>#REF!</v>
      </c>
      <c r="N29" s="128" t="e">
        <f aca="false">K29-M29</f>
        <v>#REF!</v>
      </c>
      <c r="O29" s="377" t="e">
        <f aca="false">R28</f>
        <v>#REF!</v>
      </c>
      <c r="P29" s="129" t="e">
        <f aca="false">O29*$Q$18*0.5</f>
        <v>#REF!</v>
      </c>
      <c r="Q29" s="129" t="e">
        <f aca="false">IF($Q$19&gt;=B29,0,IF(O29&gt;1,IF(ASS!$W$57=1,$Q$16/(($Q$17*2)-$Q$19),-PMT($Q$18/2,($Q$17*2-B28),O29,0)-P29),0))</f>
        <v>#REF!</v>
      </c>
      <c r="R29" s="128" t="e">
        <f aca="false">O29-Q29</f>
        <v>#REF!</v>
      </c>
      <c r="S29" s="377" t="e">
        <f aca="false">V28</f>
        <v>#REF!</v>
      </c>
      <c r="T29" s="129" t="e">
        <f aca="false">S29*$U$18*0.5</f>
        <v>#REF!</v>
      </c>
      <c r="U29" s="129" t="e">
        <f aca="false">IF($U$19&gt;=B29,0,IF(S29&gt;1,IF(ASS!$W$65=1,$U$16/(($U$17*2)-$U$19),-PMT($U$18/2,($U$17*2-B28),S29,0)-T29),0))</f>
        <v>#REF!</v>
      </c>
      <c r="V29" s="128" t="e">
        <f aca="false">S29-U29</f>
        <v>#REF!</v>
      </c>
      <c r="W29" s="377" t="e">
        <f aca="false">Z28</f>
        <v>#REF!</v>
      </c>
      <c r="X29" s="129" t="e">
        <f aca="false">W29*$Y$18*0.5</f>
        <v>#REF!</v>
      </c>
      <c r="Y29" s="129" t="e">
        <f aca="false">IF($Y$19&gt;=B29,0,IF(W29&gt;1,IF(ASS!$W$73=1,$Y$16/(($Y$17*2)-$Y$19),-PMT($Y$18/2,($Y$17*2-B28),W29,0)-X29),0))</f>
        <v>#REF!</v>
      </c>
      <c r="Z29" s="128" t="e">
        <f aca="false">W29-Y29</f>
        <v>#REF!</v>
      </c>
      <c r="AA29" s="129"/>
      <c r="AB29" s="128"/>
    </row>
    <row r="30" customFormat="false" ht="12.75" hidden="false" customHeight="false" outlineLevel="0" collapsed="false">
      <c r="A30" s="57" t="n">
        <f aca="false">A29</f>
        <v>2004</v>
      </c>
      <c r="B30" s="68" t="n">
        <f aca="false">B29+1</f>
        <v>7</v>
      </c>
      <c r="C30" s="378" t="e">
        <f aca="false">F29</f>
        <v>#REF!</v>
      </c>
      <c r="D30" s="379" t="e">
        <f aca="false">C30*$E$18*0.5</f>
        <v>#REF!</v>
      </c>
      <c r="E30" s="379" t="e">
        <f aca="false">IF($E$19&gt;=B30,0,IF(C30&gt;1,IF(ASS!$W$33=1,$E$16/(($E$17*2)-$E$19),-PMT($E$18/2,($E$17*2-B29),C30,0)-D30),0))</f>
        <v>#REF!</v>
      </c>
      <c r="F30" s="132" t="e">
        <f aca="false">C30-E30</f>
        <v>#REF!</v>
      </c>
      <c r="G30" s="378" t="e">
        <f aca="false">J29</f>
        <v>#REF!</v>
      </c>
      <c r="H30" s="379" t="e">
        <f aca="false">G30*$I$18*0.5</f>
        <v>#REF!</v>
      </c>
      <c r="I30" s="379" t="e">
        <f aca="false">IF($I$19&gt;=B30,0,IF(G30&gt;1,IF(ASS!$W$41=1,$I$16/(($I$17*2)-$I$19),-PMT($I$18/2,($I$17*2-B29),G30,0)-H30),0))</f>
        <v>#REF!</v>
      </c>
      <c r="J30" s="132" t="e">
        <f aca="false">G30-I30</f>
        <v>#REF!</v>
      </c>
      <c r="K30" s="378" t="e">
        <f aca="false">N29</f>
        <v>#REF!</v>
      </c>
      <c r="L30" s="379" t="e">
        <f aca="false">K30*$M$18*0.5</f>
        <v>#REF!</v>
      </c>
      <c r="M30" s="379" t="e">
        <f aca="false">IF($M$19&gt;=B30,0,IF(K30&gt;1,IF(ASS!$W$49=1,$M$16/(($M$17*2)-$M$19),-PMT($M$18/2,($M$17*2-B29),K30,0)-L30),0))</f>
        <v>#REF!</v>
      </c>
      <c r="N30" s="132" t="e">
        <f aca="false">K30-M30</f>
        <v>#REF!</v>
      </c>
      <c r="O30" s="378" t="e">
        <f aca="false">R29</f>
        <v>#REF!</v>
      </c>
      <c r="P30" s="379" t="e">
        <f aca="false">O30*$Q$18*0.5</f>
        <v>#REF!</v>
      </c>
      <c r="Q30" s="379" t="e">
        <f aca="false">IF($Q$19&gt;=B30,0,IF(O30&gt;1,IF(ASS!$W$57=1,$Q$16/(($Q$17*2)-$Q$19),-PMT($Q$18/2,($Q$17*2-B29),O30,0)-P30),0))</f>
        <v>#REF!</v>
      </c>
      <c r="R30" s="132" t="e">
        <f aca="false">O30-Q30</f>
        <v>#REF!</v>
      </c>
      <c r="S30" s="378" t="e">
        <f aca="false">V29</f>
        <v>#REF!</v>
      </c>
      <c r="T30" s="379" t="e">
        <f aca="false">S30*$U$18*0.5</f>
        <v>#REF!</v>
      </c>
      <c r="U30" s="379" t="e">
        <f aca="false">IF($U$19&gt;=B30,0,IF(S30&gt;1,IF(ASS!$W$65=1,$U$16/(($U$17*2)-$U$19),-PMT($U$18/2,($U$17*2-B29),S30,0)-T30),0))</f>
        <v>#REF!</v>
      </c>
      <c r="V30" s="132" t="e">
        <f aca="false">S30-U30</f>
        <v>#REF!</v>
      </c>
      <c r="W30" s="378" t="e">
        <f aca="false">Z29</f>
        <v>#REF!</v>
      </c>
      <c r="X30" s="379" t="e">
        <f aca="false">W30*$Y$18*0.5</f>
        <v>#REF!</v>
      </c>
      <c r="Y30" s="379" t="e">
        <f aca="false">IF($Y$19&gt;=B30,0,IF(W30&gt;1,IF(ASS!$W$73=1,$Y$16/(($Y$17*2)-$Y$19),-PMT($Y$18/2,($Y$17*2-B29),W30,0)-X30),0))</f>
        <v>#REF!</v>
      </c>
      <c r="Z30" s="132" t="e">
        <f aca="false">W30-Y30</f>
        <v>#REF!</v>
      </c>
      <c r="AA30" s="379" t="e">
        <f aca="false">SUM(D29:D30,H29:H30,L29:L30,P29:P30,T29:T30,X29:X30)</f>
        <v>#REF!</v>
      </c>
      <c r="AB30" s="132" t="e">
        <f aca="false">SUM(E29:E30,I29:I30,M29:M30,Q29:Q30,U29:U30,Y29:Y30)</f>
        <v>#REF!</v>
      </c>
    </row>
    <row r="31" customFormat="false" ht="12.75" hidden="false" customHeight="false" outlineLevel="0" collapsed="false">
      <c r="A31" s="29" t="n">
        <f aca="false">A29+1</f>
        <v>2005</v>
      </c>
      <c r="B31" s="34" t="n">
        <f aca="false">B30+1</f>
        <v>8</v>
      </c>
      <c r="C31" s="377" t="e">
        <f aca="false">F30</f>
        <v>#REF!</v>
      </c>
      <c r="D31" s="129" t="e">
        <f aca="false">C31*$E$18*0.5</f>
        <v>#REF!</v>
      </c>
      <c r="E31" s="129" t="e">
        <f aca="false">IF($E$19&gt;=B31,0,IF(C31&gt;1,IF(ASS!$W$33=1,$E$16/(($E$17*2)-$E$19),-PMT($E$18/2,($E$17*2-B30),C31,0)-D31),0))</f>
        <v>#REF!</v>
      </c>
      <c r="F31" s="128" t="e">
        <f aca="false">C31-E31</f>
        <v>#REF!</v>
      </c>
      <c r="G31" s="377" t="e">
        <f aca="false">J30</f>
        <v>#REF!</v>
      </c>
      <c r="H31" s="129" t="e">
        <f aca="false">G31*$I$18*0.5</f>
        <v>#REF!</v>
      </c>
      <c r="I31" s="129" t="e">
        <f aca="false">IF($I$19&gt;=B31,0,IF(G31&gt;1,IF(ASS!$W$41=1,$I$16/(($I$17*2)-$I$19),-PMT($I$18/2,($I$17*2-B30),G31,0)-H31),0))</f>
        <v>#REF!</v>
      </c>
      <c r="J31" s="128" t="e">
        <f aca="false">G31-I31</f>
        <v>#REF!</v>
      </c>
      <c r="K31" s="377" t="e">
        <f aca="false">N30</f>
        <v>#REF!</v>
      </c>
      <c r="L31" s="129" t="e">
        <f aca="false">K31*$M$18*0.5</f>
        <v>#REF!</v>
      </c>
      <c r="M31" s="129" t="e">
        <f aca="false">IF($M$19&gt;=B31,0,IF(K31&gt;1,IF(ASS!$W$49=1,$M$16/(($M$17*2)-$M$19),-PMT($M$18/2,($M$17*2-B30),K31,0)-L31),0))</f>
        <v>#REF!</v>
      </c>
      <c r="N31" s="128" t="e">
        <f aca="false">K31-M31</f>
        <v>#REF!</v>
      </c>
      <c r="O31" s="377" t="e">
        <f aca="false">R30</f>
        <v>#REF!</v>
      </c>
      <c r="P31" s="129" t="e">
        <f aca="false">O31*$Q$18*0.5</f>
        <v>#REF!</v>
      </c>
      <c r="Q31" s="129" t="e">
        <f aca="false">IF($Q$19&gt;=B31,0,IF(O31&gt;1,IF(ASS!$W$57=1,$Q$16/(($Q$17*2)-$Q$19),-PMT($Q$18/2,($Q$17*2-B30),O31,0)-P31),0))</f>
        <v>#REF!</v>
      </c>
      <c r="R31" s="128" t="e">
        <f aca="false">O31-Q31</f>
        <v>#REF!</v>
      </c>
      <c r="S31" s="377" t="e">
        <f aca="false">V30</f>
        <v>#REF!</v>
      </c>
      <c r="T31" s="129" t="e">
        <f aca="false">S31*$U$18*0.5</f>
        <v>#REF!</v>
      </c>
      <c r="U31" s="129" t="e">
        <f aca="false">IF($U$19&gt;=B31,0,IF(S31&gt;1,IF(ASS!$W$65=1,$U$16/(($U$17*2)-$U$19),-PMT($U$18/2,($U$17*2-B30),S31,0)-T31),0))</f>
        <v>#REF!</v>
      </c>
      <c r="V31" s="128" t="e">
        <f aca="false">S31-U31</f>
        <v>#REF!</v>
      </c>
      <c r="W31" s="377" t="e">
        <f aca="false">Z30</f>
        <v>#REF!</v>
      </c>
      <c r="X31" s="129" t="e">
        <f aca="false">W31*$Y$18*0.5</f>
        <v>#REF!</v>
      </c>
      <c r="Y31" s="129" t="e">
        <f aca="false">IF($Y$19&gt;=B31,0,IF(W31&gt;1,IF(ASS!$W$73=1,$Y$16/(($Y$17*2)-$Y$19),-PMT($Y$18/2,($Y$17*2-B30),W31,0)-X31),0))</f>
        <v>#REF!</v>
      </c>
      <c r="Z31" s="128" t="e">
        <f aca="false">W31-Y31</f>
        <v>#REF!</v>
      </c>
      <c r="AA31" s="129"/>
      <c r="AB31" s="128"/>
    </row>
    <row r="32" customFormat="false" ht="12.75" hidden="false" customHeight="false" outlineLevel="0" collapsed="false">
      <c r="A32" s="57" t="n">
        <f aca="false">A31</f>
        <v>2005</v>
      </c>
      <c r="B32" s="68" t="n">
        <f aca="false">B31+1</f>
        <v>9</v>
      </c>
      <c r="C32" s="378" t="e">
        <f aca="false">F31</f>
        <v>#REF!</v>
      </c>
      <c r="D32" s="379" t="e">
        <f aca="false">C32*$E$18*0.5</f>
        <v>#REF!</v>
      </c>
      <c r="E32" s="379" t="e">
        <f aca="false">IF($E$19&gt;=B32,0,IF(C32&gt;1,IF(ASS!$W$33=1,$E$16/(($E$17*2)-$E$19),-PMT($E$18/2,($E$17*2-B31),C32,0)-D32),0))</f>
        <v>#REF!</v>
      </c>
      <c r="F32" s="132" t="e">
        <f aca="false">C32-E32</f>
        <v>#REF!</v>
      </c>
      <c r="G32" s="378" t="e">
        <f aca="false">J31</f>
        <v>#REF!</v>
      </c>
      <c r="H32" s="379" t="e">
        <f aca="false">G32*$I$18*0.5</f>
        <v>#REF!</v>
      </c>
      <c r="I32" s="379" t="e">
        <f aca="false">IF($I$19&gt;=B32,0,IF(G32&gt;1,IF(ASS!$W$41=1,$I$16/(($I$17*2)-$I$19),-PMT($I$18/2,($I$17*2-B31),G32,0)-H32),0))</f>
        <v>#REF!</v>
      </c>
      <c r="J32" s="132" t="e">
        <f aca="false">G32-I32</f>
        <v>#REF!</v>
      </c>
      <c r="K32" s="378" t="e">
        <f aca="false">N31</f>
        <v>#REF!</v>
      </c>
      <c r="L32" s="379" t="e">
        <f aca="false">K32*$M$18*0.5</f>
        <v>#REF!</v>
      </c>
      <c r="M32" s="379" t="e">
        <f aca="false">IF($M$19&gt;=B32,0,IF(K32&gt;1,IF(ASS!$W$49=1,$M$16/(($M$17*2)-$M$19),-PMT($M$18/2,($M$17*2-B31),K32,0)-L32),0))</f>
        <v>#REF!</v>
      </c>
      <c r="N32" s="132" t="e">
        <f aca="false">K32-M32</f>
        <v>#REF!</v>
      </c>
      <c r="O32" s="378" t="e">
        <f aca="false">R31</f>
        <v>#REF!</v>
      </c>
      <c r="P32" s="379" t="e">
        <f aca="false">O32*$Q$18*0.5</f>
        <v>#REF!</v>
      </c>
      <c r="Q32" s="379" t="e">
        <f aca="false">IF($Q$19&gt;=B32,0,IF(O32&gt;1,IF(ASS!$W$57=1,$Q$16/(($Q$17*2)-$Q$19),-PMT($Q$18/2,($Q$17*2-B31),O32,0)-P32),0))</f>
        <v>#REF!</v>
      </c>
      <c r="R32" s="132" t="e">
        <f aca="false">O32-Q32</f>
        <v>#REF!</v>
      </c>
      <c r="S32" s="378" t="e">
        <f aca="false">V31</f>
        <v>#REF!</v>
      </c>
      <c r="T32" s="379" t="e">
        <f aca="false">S32*$U$18*0.5</f>
        <v>#REF!</v>
      </c>
      <c r="U32" s="379" t="e">
        <f aca="false">IF($U$19&gt;=B32,0,IF(S32&gt;1,IF(ASS!$W$65=1,$U$16/(($U$17*2)-$U$19),-PMT($U$18/2,($U$17*2-B31),S32,0)-T32),0))</f>
        <v>#REF!</v>
      </c>
      <c r="V32" s="132" t="e">
        <f aca="false">S32-U32</f>
        <v>#REF!</v>
      </c>
      <c r="W32" s="378" t="e">
        <f aca="false">Z31</f>
        <v>#REF!</v>
      </c>
      <c r="X32" s="379" t="e">
        <f aca="false">W32*$Y$18*0.5</f>
        <v>#REF!</v>
      </c>
      <c r="Y32" s="379" t="e">
        <f aca="false">IF($Y$19&gt;=B32,0,IF(W32&gt;1,IF(ASS!$W$73=1,$Y$16/(($Y$17*2)-$Y$19),-PMT($Y$18/2,($Y$17*2-B31),W32,0)-X32),0))</f>
        <v>#REF!</v>
      </c>
      <c r="Z32" s="132" t="e">
        <f aca="false">W32-Y32</f>
        <v>#REF!</v>
      </c>
      <c r="AA32" s="379" t="e">
        <f aca="false">SUM(D31:D32,H31:H32,L31:L32,P31:P32,T31:T32,X31:X32)</f>
        <v>#REF!</v>
      </c>
      <c r="AB32" s="132" t="e">
        <f aca="false">SUM(E31:E32,I31:I32,M31:M32,Q31:Q32,U31:U32,Y31:Y32)</f>
        <v>#REF!</v>
      </c>
    </row>
    <row r="33" customFormat="false" ht="12.75" hidden="false" customHeight="false" outlineLevel="0" collapsed="false">
      <c r="A33" s="29" t="n">
        <f aca="false">A31+1</f>
        <v>2006</v>
      </c>
      <c r="B33" s="34" t="n">
        <f aca="false">B32+1</f>
        <v>10</v>
      </c>
      <c r="C33" s="377" t="e">
        <f aca="false">F32</f>
        <v>#REF!</v>
      </c>
      <c r="D33" s="129" t="e">
        <f aca="false">C33*$E$18*0.5</f>
        <v>#REF!</v>
      </c>
      <c r="E33" s="129" t="e">
        <f aca="false">IF($E$19&gt;=B33,0,IF(C33&gt;1,IF(ASS!$W$33=1,$E$16/(($E$17*2)-$E$19),-PMT($E$18/2,($E$17*2-B32),C33,0)-D33),0))</f>
        <v>#REF!</v>
      </c>
      <c r="F33" s="128" t="e">
        <f aca="false">C33-E33</f>
        <v>#REF!</v>
      </c>
      <c r="G33" s="377" t="e">
        <f aca="false">J32</f>
        <v>#REF!</v>
      </c>
      <c r="H33" s="129" t="e">
        <f aca="false">G33*$I$18*0.5</f>
        <v>#REF!</v>
      </c>
      <c r="I33" s="129" t="e">
        <f aca="false">IF($I$19&gt;=B33,0,IF(G33&gt;1,IF(ASS!$W$41=1,$I$16/(($I$17*2)-$I$19),-PMT($I$18/2,($I$17*2-B32),G33,0)-H33),0))</f>
        <v>#REF!</v>
      </c>
      <c r="J33" s="128" t="e">
        <f aca="false">G33-I33</f>
        <v>#REF!</v>
      </c>
      <c r="K33" s="377" t="e">
        <f aca="false">N32</f>
        <v>#REF!</v>
      </c>
      <c r="L33" s="129" t="e">
        <f aca="false">K33*$M$18*0.5</f>
        <v>#REF!</v>
      </c>
      <c r="M33" s="129" t="e">
        <f aca="false">IF($M$19&gt;=B33,0,IF(K33&gt;1,IF(ASS!$W$49=1,$M$16/(($M$17*2)-$M$19),-PMT($M$18/2,($M$17*2-B32),K33,0)-L33),0))</f>
        <v>#REF!</v>
      </c>
      <c r="N33" s="128" t="e">
        <f aca="false">K33-M33</f>
        <v>#REF!</v>
      </c>
      <c r="O33" s="377" t="e">
        <f aca="false">R32</f>
        <v>#REF!</v>
      </c>
      <c r="P33" s="129" t="e">
        <f aca="false">O33*$Q$18*0.5</f>
        <v>#REF!</v>
      </c>
      <c r="Q33" s="129" t="e">
        <f aca="false">IF($Q$19&gt;=B33,0,IF(O33&gt;1,IF(ASS!$W$57=1,$Q$16/(($Q$17*2)-$Q$19),-PMT($Q$18/2,($Q$17*2-B32),O33,0)-P33),0))</f>
        <v>#REF!</v>
      </c>
      <c r="R33" s="128" t="e">
        <f aca="false">O33-Q33</f>
        <v>#REF!</v>
      </c>
      <c r="S33" s="377" t="e">
        <f aca="false">V32</f>
        <v>#REF!</v>
      </c>
      <c r="T33" s="129" t="e">
        <f aca="false">S33*$U$18*0.5</f>
        <v>#REF!</v>
      </c>
      <c r="U33" s="129" t="e">
        <f aca="false">IF($U$19&gt;=B33,0,IF(S33&gt;1,IF(ASS!$W$65=1,$U$16/(($U$17*2)-$U$19),-PMT($U$18/2,($U$17*2-B32),S33,0)-T33),0))</f>
        <v>#REF!</v>
      </c>
      <c r="V33" s="128" t="e">
        <f aca="false">S33-U33</f>
        <v>#REF!</v>
      </c>
      <c r="W33" s="377" t="e">
        <f aca="false">Z32</f>
        <v>#REF!</v>
      </c>
      <c r="X33" s="129" t="e">
        <f aca="false">W33*$Y$18*0.5</f>
        <v>#REF!</v>
      </c>
      <c r="Y33" s="129" t="e">
        <f aca="false">IF($Y$19&gt;=B33,0,IF(W33&gt;1,IF(ASS!$W$73=1,$Y$16/(($Y$17*2)-$Y$19),-PMT($Y$18/2,($Y$17*2-B32),W33,0)-X33),0))</f>
        <v>#REF!</v>
      </c>
      <c r="Z33" s="128" t="e">
        <f aca="false">W33-Y33</f>
        <v>#REF!</v>
      </c>
      <c r="AA33" s="129"/>
      <c r="AB33" s="128"/>
    </row>
    <row r="34" customFormat="false" ht="12.75" hidden="false" customHeight="false" outlineLevel="0" collapsed="false">
      <c r="A34" s="57" t="n">
        <f aca="false">A33</f>
        <v>2006</v>
      </c>
      <c r="B34" s="68" t="n">
        <f aca="false">B33+1</f>
        <v>11</v>
      </c>
      <c r="C34" s="378" t="e">
        <f aca="false">F33</f>
        <v>#REF!</v>
      </c>
      <c r="D34" s="379" t="e">
        <f aca="false">C34*$E$18*0.5</f>
        <v>#REF!</v>
      </c>
      <c r="E34" s="379" t="e">
        <f aca="false">IF($E$19&gt;=B34,0,IF(C34&gt;1,IF(ASS!$W$33=1,$E$16/(($E$17*2)-$E$19),-PMT($E$18/2,($E$17*2-B33),C34,0)-D34),0))</f>
        <v>#REF!</v>
      </c>
      <c r="F34" s="132" t="e">
        <f aca="false">C34-E34</f>
        <v>#REF!</v>
      </c>
      <c r="G34" s="378" t="e">
        <f aca="false">J33</f>
        <v>#REF!</v>
      </c>
      <c r="H34" s="379" t="e">
        <f aca="false">G34*$I$18*0.5</f>
        <v>#REF!</v>
      </c>
      <c r="I34" s="379" t="e">
        <f aca="false">IF($I$19&gt;=B34,0,IF(G34&gt;1,IF(ASS!$W$41=1,$I$16/(($I$17*2)-$I$19),-PMT($I$18/2,($I$17*2-B33),G34,0)-H34),0))</f>
        <v>#REF!</v>
      </c>
      <c r="J34" s="132" t="e">
        <f aca="false">G34-I34</f>
        <v>#REF!</v>
      </c>
      <c r="K34" s="378" t="e">
        <f aca="false">N33</f>
        <v>#REF!</v>
      </c>
      <c r="L34" s="379" t="e">
        <f aca="false">K34*$M$18*0.5</f>
        <v>#REF!</v>
      </c>
      <c r="M34" s="379" t="e">
        <f aca="false">IF($M$19&gt;=B34,0,IF(K34&gt;1,IF(ASS!$W$49=1,$M$16/(($M$17*2)-$M$19),-PMT($M$18/2,($M$17*2-B33),K34,0)-L34),0))</f>
        <v>#REF!</v>
      </c>
      <c r="N34" s="132" t="e">
        <f aca="false">K34-M34</f>
        <v>#REF!</v>
      </c>
      <c r="O34" s="378" t="e">
        <f aca="false">R33</f>
        <v>#REF!</v>
      </c>
      <c r="P34" s="379" t="e">
        <f aca="false">O34*$Q$18*0.5</f>
        <v>#REF!</v>
      </c>
      <c r="Q34" s="379" t="e">
        <f aca="false">IF($Q$19&gt;=B34,0,IF(O34&gt;1,IF(ASS!$W$57=1,$Q$16/(($Q$17*2)-$Q$19),-PMT($Q$18/2,($Q$17*2-B33),O34,0)-P34),0))</f>
        <v>#REF!</v>
      </c>
      <c r="R34" s="132" t="e">
        <f aca="false">O34-Q34</f>
        <v>#REF!</v>
      </c>
      <c r="S34" s="378" t="e">
        <f aca="false">V33</f>
        <v>#REF!</v>
      </c>
      <c r="T34" s="379" t="e">
        <f aca="false">S34*$U$18*0.5</f>
        <v>#REF!</v>
      </c>
      <c r="U34" s="379" t="e">
        <f aca="false">IF($U$19&gt;=B34,0,IF(S34&gt;1,IF(ASS!$W$65=1,$U$16/(($U$17*2)-$U$19),-PMT($U$18/2,($U$17*2-B33),S34,0)-T34),0))</f>
        <v>#REF!</v>
      </c>
      <c r="V34" s="132" t="e">
        <f aca="false">S34-U34</f>
        <v>#REF!</v>
      </c>
      <c r="W34" s="378" t="e">
        <f aca="false">Z33</f>
        <v>#REF!</v>
      </c>
      <c r="X34" s="379" t="e">
        <f aca="false">W34*$Y$18*0.5</f>
        <v>#REF!</v>
      </c>
      <c r="Y34" s="379" t="e">
        <f aca="false">IF($Y$19&gt;=B34,0,IF(W34&gt;1,IF(ASS!$W$73=1,$Y$16/(($Y$17*2)-$Y$19),-PMT($Y$18/2,($Y$17*2-B33),W34,0)-X34),0))</f>
        <v>#REF!</v>
      </c>
      <c r="Z34" s="132" t="e">
        <f aca="false">W34-Y34</f>
        <v>#REF!</v>
      </c>
      <c r="AA34" s="379" t="e">
        <f aca="false">SUM(D33:D34,H33:H34,L33:L34,P33:P34,T33:T34,X33:X34)</f>
        <v>#REF!</v>
      </c>
      <c r="AB34" s="132" t="e">
        <f aca="false">SUM(E33:E34,I33:I34,M33:M34,Q33:Q34,U33:U34,Y33:Y34)</f>
        <v>#REF!</v>
      </c>
    </row>
    <row r="35" customFormat="false" ht="12.75" hidden="false" customHeight="false" outlineLevel="0" collapsed="false">
      <c r="A35" s="29" t="n">
        <f aca="false">A33+1</f>
        <v>2007</v>
      </c>
      <c r="B35" s="34" t="n">
        <f aca="false">B34+1</f>
        <v>12</v>
      </c>
      <c r="C35" s="377" t="e">
        <f aca="false">F34</f>
        <v>#REF!</v>
      </c>
      <c r="D35" s="129" t="e">
        <f aca="false">C35*$E$18*0.5</f>
        <v>#REF!</v>
      </c>
      <c r="E35" s="129" t="e">
        <f aca="false">IF($E$19&gt;=B35,0,IF(C35&gt;1,IF(ASS!$W$33=1,$E$16/(($E$17*2)-$E$19),-PMT($E$18/2,($E$17*2-B34),C35,0)-D35),0))</f>
        <v>#REF!</v>
      </c>
      <c r="F35" s="128" t="e">
        <f aca="false">C35-E35</f>
        <v>#REF!</v>
      </c>
      <c r="G35" s="377" t="e">
        <f aca="false">J34</f>
        <v>#REF!</v>
      </c>
      <c r="H35" s="129" t="e">
        <f aca="false">G35*$I$18*0.5</f>
        <v>#REF!</v>
      </c>
      <c r="I35" s="129" t="e">
        <f aca="false">IF($I$19&gt;=B35,0,IF(G35&gt;1,IF(ASS!$W$41=1,$I$16/(($I$17*2)-$I$19),-PMT($I$18/2,($I$17*2-B34),G35,0)-H35),0))</f>
        <v>#REF!</v>
      </c>
      <c r="J35" s="128" t="e">
        <f aca="false">G35-I35</f>
        <v>#REF!</v>
      </c>
      <c r="K35" s="377" t="e">
        <f aca="false">N34</f>
        <v>#REF!</v>
      </c>
      <c r="L35" s="129" t="e">
        <f aca="false">K35*$M$18*0.5</f>
        <v>#REF!</v>
      </c>
      <c r="M35" s="129" t="e">
        <f aca="false">IF($M$19&gt;=B35,0,IF(K35&gt;1,IF(ASS!$W$49=1,$M$16/(($M$17*2)-$M$19),-PMT($M$18/2,($M$17*2-B34),K35,0)-L35),0))</f>
        <v>#REF!</v>
      </c>
      <c r="N35" s="128" t="e">
        <f aca="false">K35-M35</f>
        <v>#REF!</v>
      </c>
      <c r="O35" s="377" t="e">
        <f aca="false">R34</f>
        <v>#REF!</v>
      </c>
      <c r="P35" s="129" t="e">
        <f aca="false">O35*$Q$18*0.5</f>
        <v>#REF!</v>
      </c>
      <c r="Q35" s="129" t="e">
        <f aca="false">IF($Q$19&gt;=B35,0,IF(O35&gt;1,IF(ASS!$W$57=1,$Q$16/(($Q$17*2)-$Q$19),-PMT($Q$18/2,($Q$17*2-B34),O35,0)-P35),0))</f>
        <v>#REF!</v>
      </c>
      <c r="R35" s="128" t="e">
        <f aca="false">O35-Q35</f>
        <v>#REF!</v>
      </c>
      <c r="S35" s="377" t="e">
        <f aca="false">V34</f>
        <v>#REF!</v>
      </c>
      <c r="T35" s="129" t="e">
        <f aca="false">S35*$U$18*0.5</f>
        <v>#REF!</v>
      </c>
      <c r="U35" s="129" t="e">
        <f aca="false">IF($U$19&gt;=B35,0,IF(S35&gt;1,IF(ASS!$W$65=1,$U$16/(($U$17*2)-$U$19),-PMT($U$18/2,($U$17*2-B34),S35,0)-T35),0))</f>
        <v>#REF!</v>
      </c>
      <c r="V35" s="128" t="e">
        <f aca="false">S35-U35</f>
        <v>#REF!</v>
      </c>
      <c r="W35" s="377" t="e">
        <f aca="false">Z34</f>
        <v>#REF!</v>
      </c>
      <c r="X35" s="129" t="e">
        <f aca="false">W35*$Y$18*0.5</f>
        <v>#REF!</v>
      </c>
      <c r="Y35" s="129" t="e">
        <f aca="false">IF($Y$19&gt;=B35,0,IF(W35&gt;1,IF(ASS!$W$73=1,$Y$16/(($Y$17*2)-$Y$19),-PMT($Y$18/2,($Y$17*2-B34),W35,0)-X35),0))</f>
        <v>#REF!</v>
      </c>
      <c r="Z35" s="128" t="e">
        <f aca="false">W35-Y35</f>
        <v>#REF!</v>
      </c>
      <c r="AA35" s="129"/>
      <c r="AB35" s="128"/>
    </row>
    <row r="36" customFormat="false" ht="12.75" hidden="false" customHeight="false" outlineLevel="0" collapsed="false">
      <c r="A36" s="57" t="n">
        <f aca="false">A35</f>
        <v>2007</v>
      </c>
      <c r="B36" s="68" t="n">
        <f aca="false">B35+1</f>
        <v>13</v>
      </c>
      <c r="C36" s="378" t="e">
        <f aca="false">F35</f>
        <v>#REF!</v>
      </c>
      <c r="D36" s="379" t="e">
        <f aca="false">C36*$E$18*0.5</f>
        <v>#REF!</v>
      </c>
      <c r="E36" s="379" t="e">
        <f aca="false">IF($E$19&gt;=B36,0,IF(C36&gt;1,IF(ASS!$W$33=1,$E$16/(($E$17*2)-$E$19),-PMT($E$18/2,($E$17*2-B35),C36,0)-D36),0))</f>
        <v>#REF!</v>
      </c>
      <c r="F36" s="132" t="e">
        <f aca="false">C36-E36</f>
        <v>#REF!</v>
      </c>
      <c r="G36" s="378" t="e">
        <f aca="false">J35</f>
        <v>#REF!</v>
      </c>
      <c r="H36" s="379" t="e">
        <f aca="false">G36*$I$18*0.5</f>
        <v>#REF!</v>
      </c>
      <c r="I36" s="379" t="e">
        <f aca="false">IF($I$19&gt;=B36,0,IF(G36&gt;1,IF(ASS!$W$41=1,$I$16/(($I$17*2)-$I$19),-PMT($I$18/2,($I$17*2-B35),G36,0)-H36),0))</f>
        <v>#REF!</v>
      </c>
      <c r="J36" s="132" t="e">
        <f aca="false">G36-I36</f>
        <v>#REF!</v>
      </c>
      <c r="K36" s="378" t="e">
        <f aca="false">N35</f>
        <v>#REF!</v>
      </c>
      <c r="L36" s="379" t="e">
        <f aca="false">K36*$M$18*0.5</f>
        <v>#REF!</v>
      </c>
      <c r="M36" s="379" t="e">
        <f aca="false">IF($M$19&gt;=B36,0,IF(K36&gt;1,IF(ASS!$W$49=1,$M$16/(($M$17*2)-$M$19),-PMT($M$18/2,($M$17*2-B35),K36,0)-L36),0))</f>
        <v>#REF!</v>
      </c>
      <c r="N36" s="132" t="e">
        <f aca="false">K36-M36</f>
        <v>#REF!</v>
      </c>
      <c r="O36" s="378" t="e">
        <f aca="false">R35</f>
        <v>#REF!</v>
      </c>
      <c r="P36" s="379" t="e">
        <f aca="false">O36*$Q$18*0.5</f>
        <v>#REF!</v>
      </c>
      <c r="Q36" s="379" t="e">
        <f aca="false">IF($Q$19&gt;=B36,0,IF(O36&gt;1,IF(ASS!$W$57=1,$Q$16/(($Q$17*2)-$Q$19),-PMT($Q$18/2,($Q$17*2-B35),O36,0)-P36),0))</f>
        <v>#REF!</v>
      </c>
      <c r="R36" s="132" t="e">
        <f aca="false">O36-Q36</f>
        <v>#REF!</v>
      </c>
      <c r="S36" s="378" t="e">
        <f aca="false">V35</f>
        <v>#REF!</v>
      </c>
      <c r="T36" s="379" t="e">
        <f aca="false">S36*$U$18*0.5</f>
        <v>#REF!</v>
      </c>
      <c r="U36" s="379" t="e">
        <f aca="false">IF($U$19&gt;=B36,0,IF(S36&gt;1,IF(ASS!$W$65=1,$U$16/(($U$17*2)-$U$19),-PMT($U$18/2,($U$17*2-B35),S36,0)-T36),0))</f>
        <v>#REF!</v>
      </c>
      <c r="V36" s="132" t="e">
        <f aca="false">S36-U36</f>
        <v>#REF!</v>
      </c>
      <c r="W36" s="378" t="e">
        <f aca="false">Z35</f>
        <v>#REF!</v>
      </c>
      <c r="X36" s="379" t="e">
        <f aca="false">W36*$Y$18*0.5</f>
        <v>#REF!</v>
      </c>
      <c r="Y36" s="379" t="e">
        <f aca="false">IF($Y$19&gt;=B36,0,IF(W36&gt;1,IF(ASS!$W$73=1,$Y$16/(($Y$17*2)-$Y$19),-PMT($Y$18/2,($Y$17*2-B35),W36,0)-X36),0))</f>
        <v>#REF!</v>
      </c>
      <c r="Z36" s="132" t="e">
        <f aca="false">W36-Y36</f>
        <v>#REF!</v>
      </c>
      <c r="AA36" s="379" t="e">
        <f aca="false">SUM(D35:D36,H35:H36,L35:L36,P35:P36,T35:T36,X35:X36)</f>
        <v>#REF!</v>
      </c>
      <c r="AB36" s="132" t="e">
        <f aca="false">SUM(E35:E36,I35:I36,M35:M36,Q35:Q36,U35:U36,Y35:Y36)</f>
        <v>#REF!</v>
      </c>
    </row>
    <row r="37" customFormat="false" ht="12.75" hidden="false" customHeight="false" outlineLevel="0" collapsed="false">
      <c r="A37" s="29" t="n">
        <f aca="false">A35+1</f>
        <v>2008</v>
      </c>
      <c r="B37" s="34" t="n">
        <f aca="false">B36+1</f>
        <v>14</v>
      </c>
      <c r="C37" s="377" t="e">
        <f aca="false">F36</f>
        <v>#REF!</v>
      </c>
      <c r="D37" s="129" t="e">
        <f aca="false">C37*$E$18*0.5</f>
        <v>#REF!</v>
      </c>
      <c r="E37" s="129" t="e">
        <f aca="false">IF($E$19&gt;=B37,0,IF(C37&gt;1,IF(ASS!$W$33=1,$E$16/(($E$17*2)-$E$19),-PMT($E$18/2,($E$17*2-B36),C37,0)-D37),0))</f>
        <v>#REF!</v>
      </c>
      <c r="F37" s="128" t="e">
        <f aca="false">C37-E37</f>
        <v>#REF!</v>
      </c>
      <c r="G37" s="377" t="e">
        <f aca="false">J36</f>
        <v>#REF!</v>
      </c>
      <c r="H37" s="129" t="e">
        <f aca="false">G37*$I$18*0.5</f>
        <v>#REF!</v>
      </c>
      <c r="I37" s="129" t="e">
        <f aca="false">IF($I$19&gt;=B37,0,IF(G37&gt;1,IF(ASS!$W$41=1,$I$16/(($I$17*2)-$I$19),-PMT($I$18/2,($I$17*2-B36),G37,0)-H37),0))</f>
        <v>#REF!</v>
      </c>
      <c r="J37" s="128" t="e">
        <f aca="false">G37-I37</f>
        <v>#REF!</v>
      </c>
      <c r="K37" s="377" t="e">
        <f aca="false">N36</f>
        <v>#REF!</v>
      </c>
      <c r="L37" s="129" t="e">
        <f aca="false">K37*$M$18*0.5</f>
        <v>#REF!</v>
      </c>
      <c r="M37" s="129" t="e">
        <f aca="false">IF($M$19&gt;=B37,0,IF(K37&gt;1,IF(ASS!$W$49=1,$M$16/(($M$17*2)-$M$19),-PMT($M$18/2,($M$17*2-B36),K37,0)-L37),0))</f>
        <v>#REF!</v>
      </c>
      <c r="N37" s="128" t="e">
        <f aca="false">K37-M37</f>
        <v>#REF!</v>
      </c>
      <c r="O37" s="377" t="e">
        <f aca="false">R36</f>
        <v>#REF!</v>
      </c>
      <c r="P37" s="129" t="e">
        <f aca="false">O37*$Q$18*0.5</f>
        <v>#REF!</v>
      </c>
      <c r="Q37" s="129" t="e">
        <f aca="false">IF($Q$19&gt;=B37,0,IF(O37&gt;1,IF(ASS!$W$57=1,$Q$16/(($Q$17*2)-$Q$19),-PMT($Q$18/2,($Q$17*2-B36),O37,0)-P37),0))</f>
        <v>#REF!</v>
      </c>
      <c r="R37" s="128" t="e">
        <f aca="false">O37-Q37</f>
        <v>#REF!</v>
      </c>
      <c r="S37" s="377" t="e">
        <f aca="false">V36</f>
        <v>#REF!</v>
      </c>
      <c r="T37" s="129" t="e">
        <f aca="false">S37*$U$18*0.5</f>
        <v>#REF!</v>
      </c>
      <c r="U37" s="129" t="e">
        <f aca="false">IF($U$19&gt;=B37,0,IF(S37&gt;1,IF(ASS!$W$65=1,$U$16/(($U$17*2)-$U$19),-PMT($U$18/2,($U$17*2-B36),S37,0)-T37),0))</f>
        <v>#REF!</v>
      </c>
      <c r="V37" s="128" t="e">
        <f aca="false">S37-U37</f>
        <v>#REF!</v>
      </c>
      <c r="W37" s="377" t="e">
        <f aca="false">Z36</f>
        <v>#REF!</v>
      </c>
      <c r="X37" s="129" t="e">
        <f aca="false">W37*$Y$18*0.5</f>
        <v>#REF!</v>
      </c>
      <c r="Y37" s="129" t="e">
        <f aca="false">IF($Y$19&gt;=B37,0,IF(W37&gt;1,IF(ASS!$W$73=1,$Y$16/(($Y$17*2)-$Y$19),-PMT($Y$18/2,($Y$17*2-B36),W37,0)-X37),0))</f>
        <v>#REF!</v>
      </c>
      <c r="Z37" s="128" t="e">
        <f aca="false">W37-Y37</f>
        <v>#REF!</v>
      </c>
      <c r="AA37" s="129"/>
      <c r="AB37" s="128"/>
    </row>
    <row r="38" customFormat="false" ht="12.75" hidden="false" customHeight="false" outlineLevel="0" collapsed="false">
      <c r="A38" s="57" t="n">
        <f aca="false">A37</f>
        <v>2008</v>
      </c>
      <c r="B38" s="68" t="n">
        <f aca="false">B37+1</f>
        <v>15</v>
      </c>
      <c r="C38" s="378" t="e">
        <f aca="false">F37</f>
        <v>#REF!</v>
      </c>
      <c r="D38" s="379" t="e">
        <f aca="false">C38*$E$18*0.5</f>
        <v>#REF!</v>
      </c>
      <c r="E38" s="379" t="e">
        <f aca="false">IF($E$19&gt;=B38,0,IF(C38&gt;1,IF(ASS!$W$33=1,$E$16/(($E$17*2)-$E$19),-PMT($E$18/2,($E$17*2-B37),C38,0)-D38),0))</f>
        <v>#REF!</v>
      </c>
      <c r="F38" s="132" t="e">
        <f aca="false">C38-E38</f>
        <v>#REF!</v>
      </c>
      <c r="G38" s="378" t="e">
        <f aca="false">J37</f>
        <v>#REF!</v>
      </c>
      <c r="H38" s="379" t="e">
        <f aca="false">G38*$I$18*0.5</f>
        <v>#REF!</v>
      </c>
      <c r="I38" s="379" t="e">
        <f aca="false">IF($I$19&gt;=B38,0,IF(G38&gt;1,IF(ASS!$W$41=1,$I$16/(($I$17*2)-$I$19),-PMT($I$18/2,($I$17*2-B37),G38,0)-H38),0))</f>
        <v>#REF!</v>
      </c>
      <c r="J38" s="132" t="e">
        <f aca="false">G38-I38</f>
        <v>#REF!</v>
      </c>
      <c r="K38" s="378" t="e">
        <f aca="false">N37</f>
        <v>#REF!</v>
      </c>
      <c r="L38" s="379" t="e">
        <f aca="false">K38*$M$18*0.5</f>
        <v>#REF!</v>
      </c>
      <c r="M38" s="379" t="e">
        <f aca="false">IF($M$19&gt;=B38,0,IF(K38&gt;1,IF(ASS!$W$49=1,$M$16/(($M$17*2)-$M$19),-PMT($M$18/2,($M$17*2-B37),K38,0)-L38),0))</f>
        <v>#REF!</v>
      </c>
      <c r="N38" s="132" t="e">
        <f aca="false">K38-M38</f>
        <v>#REF!</v>
      </c>
      <c r="O38" s="378" t="e">
        <f aca="false">R37</f>
        <v>#REF!</v>
      </c>
      <c r="P38" s="379" t="e">
        <f aca="false">O38*$Q$18*0.5</f>
        <v>#REF!</v>
      </c>
      <c r="Q38" s="379" t="e">
        <f aca="false">IF($Q$19&gt;=B38,0,IF(O38&gt;1,IF(ASS!$W$57=1,$Q$16/(($Q$17*2)-$Q$19),-PMT($Q$18/2,($Q$17*2-B37),O38,0)-P38),0))</f>
        <v>#REF!</v>
      </c>
      <c r="R38" s="132" t="e">
        <f aca="false">O38-Q38</f>
        <v>#REF!</v>
      </c>
      <c r="S38" s="378" t="e">
        <f aca="false">V37</f>
        <v>#REF!</v>
      </c>
      <c r="T38" s="379" t="e">
        <f aca="false">S38*$U$18*0.5</f>
        <v>#REF!</v>
      </c>
      <c r="U38" s="379" t="e">
        <f aca="false">IF($U$19&gt;=B38,0,IF(S38&gt;1,IF(ASS!$W$65=1,$U$16/(($U$17*2)-$U$19),-PMT($U$18/2,($U$17*2-B37),S38,0)-T38),0))</f>
        <v>#REF!</v>
      </c>
      <c r="V38" s="132" t="e">
        <f aca="false">S38-U38</f>
        <v>#REF!</v>
      </c>
      <c r="W38" s="378" t="e">
        <f aca="false">Z37</f>
        <v>#REF!</v>
      </c>
      <c r="X38" s="379" t="e">
        <f aca="false">W38*$Y$18*0.5</f>
        <v>#REF!</v>
      </c>
      <c r="Y38" s="379" t="e">
        <f aca="false">IF($Y$19&gt;=B38,0,IF(W38&gt;1,IF(ASS!$W$73=1,$Y$16/(($Y$17*2)-$Y$19),-PMT($Y$18/2,($Y$17*2-B37),W38,0)-X38),0))</f>
        <v>#REF!</v>
      </c>
      <c r="Z38" s="132" t="e">
        <f aca="false">W38-Y38</f>
        <v>#REF!</v>
      </c>
      <c r="AA38" s="379" t="e">
        <f aca="false">SUM(D37:D38,H37:H38,L37:L38,P37:P38,T37:T38,X37:X38)</f>
        <v>#REF!</v>
      </c>
      <c r="AB38" s="132" t="e">
        <f aca="false">SUM(E37:E38,I37:I38,M37:M38,Q37:Q38,U37:U38,Y37:Y38)</f>
        <v>#REF!</v>
      </c>
    </row>
    <row r="39" customFormat="false" ht="12.75" hidden="false" customHeight="false" outlineLevel="0" collapsed="false">
      <c r="A39" s="29" t="n">
        <f aca="false">A37+1</f>
        <v>2009</v>
      </c>
      <c r="B39" s="34" t="n">
        <f aca="false">B38+1</f>
        <v>16</v>
      </c>
      <c r="C39" s="377" t="e">
        <f aca="false">F38</f>
        <v>#REF!</v>
      </c>
      <c r="D39" s="129" t="e">
        <f aca="false">C39*$E$18*0.5</f>
        <v>#REF!</v>
      </c>
      <c r="E39" s="129" t="e">
        <f aca="false">IF($E$19&gt;=B39,0,IF(C39&gt;1,IF(ASS!$W$33=1,$E$16/(($E$17*2)-$E$19),-PMT($E$18/2,($E$17*2-B38),C39,0)-D39),0))</f>
        <v>#REF!</v>
      </c>
      <c r="F39" s="128" t="e">
        <f aca="false">C39-E39</f>
        <v>#REF!</v>
      </c>
      <c r="G39" s="377" t="e">
        <f aca="false">J38</f>
        <v>#REF!</v>
      </c>
      <c r="H39" s="129" t="e">
        <f aca="false">G39*$I$18*0.5</f>
        <v>#REF!</v>
      </c>
      <c r="I39" s="129" t="e">
        <f aca="false">IF($I$19&gt;=B39,0,IF(G39&gt;1,IF(ASS!$W$41=1,$I$16/(($I$17*2)-$I$19),-PMT($I$18/2,($I$17*2-B38),G39,0)-H39),0))</f>
        <v>#REF!</v>
      </c>
      <c r="J39" s="128" t="e">
        <f aca="false">G39-I39</f>
        <v>#REF!</v>
      </c>
      <c r="K39" s="377" t="e">
        <f aca="false">N38</f>
        <v>#REF!</v>
      </c>
      <c r="L39" s="129" t="e">
        <f aca="false">K39*$M$18*0.5</f>
        <v>#REF!</v>
      </c>
      <c r="M39" s="129" t="e">
        <f aca="false">IF($M$19&gt;=B39,0,IF(K39&gt;1,IF(ASS!$W$49=1,$M$16/(($M$17*2)-$M$19),-PMT($M$18/2,($M$17*2-B38),K39,0)-L39),0))</f>
        <v>#REF!</v>
      </c>
      <c r="N39" s="128" t="e">
        <f aca="false">K39-M39</f>
        <v>#REF!</v>
      </c>
      <c r="O39" s="377" t="e">
        <f aca="false">R38</f>
        <v>#REF!</v>
      </c>
      <c r="P39" s="129" t="e">
        <f aca="false">O39*$Q$18*0.5</f>
        <v>#REF!</v>
      </c>
      <c r="Q39" s="129" t="e">
        <f aca="false">IF($Q$19&gt;=B39,0,IF(O39&gt;1,IF(ASS!$W$57=1,$Q$16/(($Q$17*2)-$Q$19),-PMT($Q$18/2,($Q$17*2-B38),O39,0)-P39),0))</f>
        <v>#REF!</v>
      </c>
      <c r="R39" s="128" t="e">
        <f aca="false">O39-Q39</f>
        <v>#REF!</v>
      </c>
      <c r="S39" s="377" t="e">
        <f aca="false">V38</f>
        <v>#REF!</v>
      </c>
      <c r="T39" s="129" t="e">
        <f aca="false">S39*$U$18*0.5</f>
        <v>#REF!</v>
      </c>
      <c r="U39" s="129" t="e">
        <f aca="false">IF($U$19&gt;=B39,0,IF(S39&gt;1,IF(ASS!$W$65=1,$U$16/(($U$17*2)-$U$19),-PMT($U$18/2,($U$17*2-B38),S39,0)-T39),0))</f>
        <v>#REF!</v>
      </c>
      <c r="V39" s="128" t="e">
        <f aca="false">S39-U39</f>
        <v>#REF!</v>
      </c>
      <c r="W39" s="377" t="e">
        <f aca="false">Z38</f>
        <v>#REF!</v>
      </c>
      <c r="X39" s="129" t="e">
        <f aca="false">W39*$Y$18*0.5</f>
        <v>#REF!</v>
      </c>
      <c r="Y39" s="129" t="e">
        <f aca="false">IF($Y$19&gt;=B39,0,IF(W39&gt;1,IF(ASS!$W$73=1,$Y$16/(($Y$17*2)-$Y$19),-PMT($Y$18/2,($Y$17*2-B38),W39,0)-X39),0))</f>
        <v>#REF!</v>
      </c>
      <c r="Z39" s="128" t="e">
        <f aca="false">W39-Y39</f>
        <v>#REF!</v>
      </c>
      <c r="AA39" s="129"/>
      <c r="AB39" s="128"/>
    </row>
    <row r="40" customFormat="false" ht="12.75" hidden="false" customHeight="false" outlineLevel="0" collapsed="false">
      <c r="A40" s="57" t="n">
        <f aca="false">A39</f>
        <v>2009</v>
      </c>
      <c r="B40" s="68" t="n">
        <f aca="false">B39+1</f>
        <v>17</v>
      </c>
      <c r="C40" s="378" t="e">
        <f aca="false">F39</f>
        <v>#REF!</v>
      </c>
      <c r="D40" s="379" t="e">
        <f aca="false">C40*$E$18*0.5</f>
        <v>#REF!</v>
      </c>
      <c r="E40" s="379" t="e">
        <f aca="false">IF($E$19&gt;=B40,0,IF(C40&gt;1,IF(ASS!$W$33=1,$E$16/(($E$17*2)-$E$19),-PMT($E$18/2,($E$17*2-B39),C40,0)-D40),0))</f>
        <v>#REF!</v>
      </c>
      <c r="F40" s="132" t="e">
        <f aca="false">C40-E40</f>
        <v>#REF!</v>
      </c>
      <c r="G40" s="378" t="e">
        <f aca="false">J39</f>
        <v>#REF!</v>
      </c>
      <c r="H40" s="379" t="e">
        <f aca="false">G40*$I$18*0.5</f>
        <v>#REF!</v>
      </c>
      <c r="I40" s="379" t="e">
        <f aca="false">IF($I$19&gt;=B40,0,IF(G40&gt;1,IF(ASS!$W$41=1,$I$16/(($I$17*2)-$I$19),-PMT($I$18/2,($I$17*2-B39),G40,0)-H40),0))</f>
        <v>#REF!</v>
      </c>
      <c r="J40" s="132" t="e">
        <f aca="false">G40-I40</f>
        <v>#REF!</v>
      </c>
      <c r="K40" s="378" t="e">
        <f aca="false">N39</f>
        <v>#REF!</v>
      </c>
      <c r="L40" s="379" t="e">
        <f aca="false">K40*$M$18*0.5</f>
        <v>#REF!</v>
      </c>
      <c r="M40" s="379" t="e">
        <f aca="false">IF($M$19&gt;=B40,0,IF(K40&gt;1,IF(ASS!$W$49=1,$M$16/(($M$17*2)-$M$19),-PMT($M$18/2,($M$17*2-B39),K40,0)-L40),0))</f>
        <v>#REF!</v>
      </c>
      <c r="N40" s="132" t="e">
        <f aca="false">K40-M40</f>
        <v>#REF!</v>
      </c>
      <c r="O40" s="378" t="e">
        <f aca="false">R39</f>
        <v>#REF!</v>
      </c>
      <c r="P40" s="379" t="e">
        <f aca="false">O40*$Q$18*0.5</f>
        <v>#REF!</v>
      </c>
      <c r="Q40" s="379" t="e">
        <f aca="false">IF($Q$19&gt;=B40,0,IF(O40&gt;1,IF(ASS!$W$57=1,$Q$16/(($Q$17*2)-$Q$19),-PMT($Q$18/2,($Q$17*2-B39),O40,0)-P40),0))</f>
        <v>#REF!</v>
      </c>
      <c r="R40" s="132" t="e">
        <f aca="false">O40-Q40</f>
        <v>#REF!</v>
      </c>
      <c r="S40" s="378" t="e">
        <f aca="false">V39</f>
        <v>#REF!</v>
      </c>
      <c r="T40" s="379" t="e">
        <f aca="false">S40*$U$18*0.5</f>
        <v>#REF!</v>
      </c>
      <c r="U40" s="379" t="e">
        <f aca="false">IF($U$19&gt;=B40,0,IF(S40&gt;1,IF(ASS!$W$65=1,$U$16/(($U$17*2)-$U$19),-PMT($U$18/2,($U$17*2-B39),S40,0)-T40),0))</f>
        <v>#REF!</v>
      </c>
      <c r="V40" s="132" t="e">
        <f aca="false">S40-U40</f>
        <v>#REF!</v>
      </c>
      <c r="W40" s="378" t="e">
        <f aca="false">Z39</f>
        <v>#REF!</v>
      </c>
      <c r="X40" s="379" t="e">
        <f aca="false">W40*$Y$18*0.5</f>
        <v>#REF!</v>
      </c>
      <c r="Y40" s="379" t="e">
        <f aca="false">IF($Y$19&gt;=B40,0,IF(W40&gt;1,IF(ASS!$W$73=1,$Y$16/(($Y$17*2)-$Y$19),-PMT($Y$18/2,($Y$17*2-B39),W40,0)-X40),0))</f>
        <v>#REF!</v>
      </c>
      <c r="Z40" s="132" t="e">
        <f aca="false">W40-Y40</f>
        <v>#REF!</v>
      </c>
      <c r="AA40" s="379" t="e">
        <f aca="false">SUM(D39:D40,H39:H40,L39:L40,P39:P40,T39:T40,X39:X40)</f>
        <v>#REF!</v>
      </c>
      <c r="AB40" s="132" t="e">
        <f aca="false">SUM(E39:E40,I39:I40,M39:M40,Q39:Q40,U39:U40,Y39:Y40)</f>
        <v>#REF!</v>
      </c>
    </row>
    <row r="41" customFormat="false" ht="12.75" hidden="false" customHeight="false" outlineLevel="0" collapsed="false">
      <c r="A41" s="29" t="n">
        <f aca="false">A39+1</f>
        <v>2010</v>
      </c>
      <c r="B41" s="34" t="n">
        <f aca="false">B40+1</f>
        <v>18</v>
      </c>
      <c r="C41" s="377" t="e">
        <f aca="false">F40</f>
        <v>#REF!</v>
      </c>
      <c r="D41" s="129" t="e">
        <f aca="false">C41*$E$18*0.5</f>
        <v>#REF!</v>
      </c>
      <c r="E41" s="129" t="e">
        <f aca="false">IF($E$19&gt;=B41,0,IF(C41&gt;1,IF(ASS!$W$33=1,$E$16/(($E$17*2)-$E$19),-PMT($E$18/2,($E$17*2-B40),C41,0)-D41),0))</f>
        <v>#REF!</v>
      </c>
      <c r="F41" s="128" t="e">
        <f aca="false">C41-E41</f>
        <v>#REF!</v>
      </c>
      <c r="G41" s="377" t="e">
        <f aca="false">J40</f>
        <v>#REF!</v>
      </c>
      <c r="H41" s="129" t="e">
        <f aca="false">G41*$I$18*0.5</f>
        <v>#REF!</v>
      </c>
      <c r="I41" s="129" t="e">
        <f aca="false">IF($I$19&gt;=B41,0,IF(G41&gt;1,IF(ASS!$W$41=1,$I$16/(($I$17*2)-$I$19),-PMT($I$18/2,($I$17*2-B40),G41,0)-H41),0))</f>
        <v>#REF!</v>
      </c>
      <c r="J41" s="128" t="e">
        <f aca="false">G41-I41</f>
        <v>#REF!</v>
      </c>
      <c r="K41" s="377" t="e">
        <f aca="false">N40</f>
        <v>#REF!</v>
      </c>
      <c r="L41" s="129" t="e">
        <f aca="false">K41*$M$18*0.5</f>
        <v>#REF!</v>
      </c>
      <c r="M41" s="129" t="e">
        <f aca="false">IF($M$19&gt;=B41,0,IF(K41&gt;1,IF(ASS!$W$49=1,$M$16/(($M$17*2)-$M$19),-PMT($M$18/2,($M$17*2-B40),K41,0)-L41),0))</f>
        <v>#REF!</v>
      </c>
      <c r="N41" s="128" t="e">
        <f aca="false">K41-M41</f>
        <v>#REF!</v>
      </c>
      <c r="O41" s="377" t="e">
        <f aca="false">R40</f>
        <v>#REF!</v>
      </c>
      <c r="P41" s="129" t="e">
        <f aca="false">O41*$Q$18*0.5</f>
        <v>#REF!</v>
      </c>
      <c r="Q41" s="129" t="e">
        <f aca="false">IF($Q$19&gt;=B41,0,IF(O41&gt;1,IF(ASS!$W$57=1,$Q$16/(($Q$17*2)-$Q$19),-PMT($Q$18/2,($Q$17*2-B40),O41,0)-P41),0))</f>
        <v>#REF!</v>
      </c>
      <c r="R41" s="128" t="e">
        <f aca="false">O41-Q41</f>
        <v>#REF!</v>
      </c>
      <c r="S41" s="377" t="e">
        <f aca="false">V40</f>
        <v>#REF!</v>
      </c>
      <c r="T41" s="129" t="e">
        <f aca="false">S41*$U$18*0.5</f>
        <v>#REF!</v>
      </c>
      <c r="U41" s="129" t="e">
        <f aca="false">IF($U$19&gt;=B41,0,IF(S41&gt;1,IF(ASS!$W$65=1,$U$16/(($U$17*2)-$U$19),-PMT($U$18/2,($U$17*2-B40),S41,0)-T41),0))</f>
        <v>#REF!</v>
      </c>
      <c r="V41" s="128" t="e">
        <f aca="false">S41-U41</f>
        <v>#REF!</v>
      </c>
      <c r="W41" s="377" t="e">
        <f aca="false">Z40</f>
        <v>#REF!</v>
      </c>
      <c r="X41" s="129" t="e">
        <f aca="false">W41*$Y$18*0.5</f>
        <v>#REF!</v>
      </c>
      <c r="Y41" s="129" t="e">
        <f aca="false">IF($Y$19&gt;=B41,0,IF(W41&gt;1,IF(ASS!$W$73=1,$Y$16/(($Y$17*2)-$Y$19),-PMT($Y$18/2,($Y$17*2-B40),W41,0)-X41),0))</f>
        <v>#REF!</v>
      </c>
      <c r="Z41" s="128" t="e">
        <f aca="false">W41-Y41</f>
        <v>#REF!</v>
      </c>
      <c r="AA41" s="129"/>
      <c r="AB41" s="128"/>
    </row>
    <row r="42" customFormat="false" ht="12.75" hidden="false" customHeight="false" outlineLevel="0" collapsed="false">
      <c r="A42" s="57" t="n">
        <f aca="false">A41</f>
        <v>2010</v>
      </c>
      <c r="B42" s="68" t="n">
        <f aca="false">B41+1</f>
        <v>19</v>
      </c>
      <c r="C42" s="378" t="e">
        <f aca="false">F41</f>
        <v>#REF!</v>
      </c>
      <c r="D42" s="379" t="e">
        <f aca="false">C42*$E$18*0.5</f>
        <v>#REF!</v>
      </c>
      <c r="E42" s="379" t="e">
        <f aca="false">IF($E$19&gt;=B42,0,IF(C42&gt;1,IF(ASS!$W$33=1,$E$16/(($E$17*2)-$E$19),-PMT($E$18/2,($E$17*2-B41),C42,0)-D42),0))</f>
        <v>#REF!</v>
      </c>
      <c r="F42" s="132" t="e">
        <f aca="false">C42-E42</f>
        <v>#REF!</v>
      </c>
      <c r="G42" s="378" t="e">
        <f aca="false">J41</f>
        <v>#REF!</v>
      </c>
      <c r="H42" s="379" t="e">
        <f aca="false">G42*$I$18*0.5</f>
        <v>#REF!</v>
      </c>
      <c r="I42" s="379" t="e">
        <f aca="false">IF($I$19&gt;=B42,0,IF(G42&gt;1,IF(ASS!$W$41=1,$I$16/(($I$17*2)-$I$19),-PMT($I$18/2,($I$17*2-B41),G42,0)-H42),0))</f>
        <v>#REF!</v>
      </c>
      <c r="J42" s="132" t="e">
        <f aca="false">G42-I42</f>
        <v>#REF!</v>
      </c>
      <c r="K42" s="378" t="e">
        <f aca="false">N41</f>
        <v>#REF!</v>
      </c>
      <c r="L42" s="379" t="e">
        <f aca="false">K42*$M$18*0.5</f>
        <v>#REF!</v>
      </c>
      <c r="M42" s="379" t="e">
        <f aca="false">IF($M$19&gt;=B42,0,IF(K42&gt;1,IF(ASS!$W$49=1,$M$16/(($M$17*2)-$M$19),-PMT($M$18/2,($M$17*2-B41),K42,0)-L42),0))</f>
        <v>#REF!</v>
      </c>
      <c r="N42" s="132" t="e">
        <f aca="false">K42-M42</f>
        <v>#REF!</v>
      </c>
      <c r="O42" s="378" t="e">
        <f aca="false">R41</f>
        <v>#REF!</v>
      </c>
      <c r="P42" s="379" t="e">
        <f aca="false">O42*$Q$18*0.5</f>
        <v>#REF!</v>
      </c>
      <c r="Q42" s="379" t="e">
        <f aca="false">IF($Q$19&gt;=B42,0,IF(O42&gt;1,IF(ASS!$W$57=1,$Q$16/(($Q$17*2)-$Q$19),-PMT($Q$18/2,($Q$17*2-B41),O42,0)-P42),0))</f>
        <v>#REF!</v>
      </c>
      <c r="R42" s="132" t="e">
        <f aca="false">O42-Q42</f>
        <v>#REF!</v>
      </c>
      <c r="S42" s="378" t="e">
        <f aca="false">V41</f>
        <v>#REF!</v>
      </c>
      <c r="T42" s="379" t="e">
        <f aca="false">S42*$U$18*0.5</f>
        <v>#REF!</v>
      </c>
      <c r="U42" s="379" t="e">
        <f aca="false">IF($U$19&gt;=B42,0,IF(S42&gt;1,IF(ASS!$W$65=1,$U$16/(($U$17*2)-$U$19),-PMT($U$18/2,($U$17*2-B41),S42,0)-T42),0))</f>
        <v>#REF!</v>
      </c>
      <c r="V42" s="132" t="e">
        <f aca="false">S42-U42</f>
        <v>#REF!</v>
      </c>
      <c r="W42" s="378" t="e">
        <f aca="false">Z41</f>
        <v>#REF!</v>
      </c>
      <c r="X42" s="379" t="e">
        <f aca="false">W42*$Y$18*0.5</f>
        <v>#REF!</v>
      </c>
      <c r="Y42" s="379" t="e">
        <f aca="false">IF($Y$19&gt;=B42,0,IF(W42&gt;1,IF(ASS!$W$73=1,$Y$16/(($Y$17*2)-$Y$19),-PMT($Y$18/2,($Y$17*2-B41),W42,0)-X42),0))</f>
        <v>#REF!</v>
      </c>
      <c r="Z42" s="132" t="e">
        <f aca="false">W42-Y42</f>
        <v>#REF!</v>
      </c>
      <c r="AA42" s="379" t="e">
        <f aca="false">SUM(D41:D42,H41:H42,L41:L42,P41:P42,T41:T42,X41:X42)</f>
        <v>#REF!</v>
      </c>
      <c r="AB42" s="132" t="e">
        <f aca="false">SUM(E41:E42,I41:I42,M41:M42,Q41:Q42,U41:U42,Y41:Y42)</f>
        <v>#REF!</v>
      </c>
    </row>
    <row r="43" customFormat="false" ht="12.75" hidden="false" customHeight="false" outlineLevel="0" collapsed="false">
      <c r="A43" s="29" t="n">
        <f aca="false">A41+1</f>
        <v>2011</v>
      </c>
      <c r="B43" s="34" t="n">
        <f aca="false">B42+1</f>
        <v>20</v>
      </c>
      <c r="C43" s="377" t="e">
        <f aca="false">F42</f>
        <v>#REF!</v>
      </c>
      <c r="D43" s="129" t="e">
        <f aca="false">C43*$E$18*0.5</f>
        <v>#REF!</v>
      </c>
      <c r="E43" s="129" t="e">
        <f aca="false">IF($E$19&gt;=B43,0,IF(C43&gt;1,IF(ASS!$W$33=1,$E$16/(($E$17*2)-$E$19),-PMT($E$18/2,($E$17*2-B42),C43,0)-D43),0))</f>
        <v>#REF!</v>
      </c>
      <c r="F43" s="128" t="e">
        <f aca="false">C43-E43</f>
        <v>#REF!</v>
      </c>
      <c r="G43" s="377" t="e">
        <f aca="false">J42</f>
        <v>#REF!</v>
      </c>
      <c r="H43" s="129" t="e">
        <f aca="false">G43*$I$18*0.5</f>
        <v>#REF!</v>
      </c>
      <c r="I43" s="129" t="e">
        <f aca="false">IF($I$19&gt;=B43,0,IF(G43&gt;1,IF(ASS!$W$41=1,$I$16/(($I$17*2)-$I$19),-PMT($I$18/2,($I$17*2-B42),G43,0)-H43),0))</f>
        <v>#REF!</v>
      </c>
      <c r="J43" s="128" t="e">
        <f aca="false">G43-I43</f>
        <v>#REF!</v>
      </c>
      <c r="K43" s="377" t="e">
        <f aca="false">N42</f>
        <v>#REF!</v>
      </c>
      <c r="L43" s="129" t="e">
        <f aca="false">K43*$M$18*0.5</f>
        <v>#REF!</v>
      </c>
      <c r="M43" s="129" t="e">
        <f aca="false">IF($M$19&gt;=B43,0,IF(K43&gt;1,IF(ASS!$W$49=1,$M$16/(($M$17*2)-$M$19),-PMT($M$18/2,($M$17*2-B42),K43,0)-L43),0))</f>
        <v>#REF!</v>
      </c>
      <c r="N43" s="128" t="e">
        <f aca="false">K43-M43</f>
        <v>#REF!</v>
      </c>
      <c r="O43" s="377" t="e">
        <f aca="false">R42</f>
        <v>#REF!</v>
      </c>
      <c r="P43" s="129" t="e">
        <f aca="false">O43*$Q$18*0.5</f>
        <v>#REF!</v>
      </c>
      <c r="Q43" s="129" t="e">
        <f aca="false">IF($Q$19&gt;=B43,0,IF(O43&gt;1,IF(ASS!$W$57=1,$Q$16/(($Q$17*2)-$Q$19),-PMT($Q$18/2,($Q$17*2-B42),O43,0)-P43),0))</f>
        <v>#REF!</v>
      </c>
      <c r="R43" s="128" t="e">
        <f aca="false">O43-Q43</f>
        <v>#REF!</v>
      </c>
      <c r="S43" s="377" t="e">
        <f aca="false">V42</f>
        <v>#REF!</v>
      </c>
      <c r="T43" s="129" t="e">
        <f aca="false">S43*$U$18*0.5</f>
        <v>#REF!</v>
      </c>
      <c r="U43" s="129" t="e">
        <f aca="false">IF($U$19&gt;=B43,0,IF(S43&gt;1,IF(ASS!$W$65=1,$U$16/(($U$17*2)-$U$19),-PMT($U$18/2,($U$17*2-B42),S43,0)-T43),0))</f>
        <v>#REF!</v>
      </c>
      <c r="V43" s="128" t="e">
        <f aca="false">S43-U43</f>
        <v>#REF!</v>
      </c>
      <c r="W43" s="377" t="e">
        <f aca="false">Z42</f>
        <v>#REF!</v>
      </c>
      <c r="X43" s="129" t="e">
        <f aca="false">W43*$Y$18*0.5</f>
        <v>#REF!</v>
      </c>
      <c r="Y43" s="129" t="e">
        <f aca="false">IF($Y$19&gt;=B43,0,IF(W43&gt;1,IF(ASS!$W$73=1,$Y$16/(($Y$17*2)-$Y$19),-PMT($Y$18/2,($Y$17*2-B42),W43,0)-X43),0))</f>
        <v>#REF!</v>
      </c>
      <c r="Z43" s="128" t="e">
        <f aca="false">W43-Y43</f>
        <v>#REF!</v>
      </c>
      <c r="AA43" s="129"/>
      <c r="AB43" s="128"/>
    </row>
    <row r="44" customFormat="false" ht="12.75" hidden="false" customHeight="false" outlineLevel="0" collapsed="false">
      <c r="A44" s="57" t="n">
        <f aca="false">A43</f>
        <v>2011</v>
      </c>
      <c r="B44" s="68" t="n">
        <f aca="false">B43+1</f>
        <v>21</v>
      </c>
      <c r="C44" s="378" t="e">
        <f aca="false">F43</f>
        <v>#REF!</v>
      </c>
      <c r="D44" s="379" t="e">
        <f aca="false">C44*$E$18*0.5</f>
        <v>#REF!</v>
      </c>
      <c r="E44" s="379" t="e">
        <f aca="false">IF($E$19&gt;=B44,0,IF(C44&gt;1,IF(ASS!$W$33=1,$E$16/(($E$17*2)-$E$19),-PMT($E$18/2,($E$17*2-B43),C44,0)-D44),0))</f>
        <v>#REF!</v>
      </c>
      <c r="F44" s="132" t="e">
        <f aca="false">C44-E44</f>
        <v>#REF!</v>
      </c>
      <c r="G44" s="378" t="e">
        <f aca="false">J43</f>
        <v>#REF!</v>
      </c>
      <c r="H44" s="379" t="e">
        <f aca="false">G44*$I$18*0.5</f>
        <v>#REF!</v>
      </c>
      <c r="I44" s="379" t="e">
        <f aca="false">IF($I$19&gt;=B44,0,IF(G44&gt;1,IF(ASS!$W$41=1,$I$16/(($I$17*2)-$I$19),-PMT($I$18/2,($I$17*2-B43),G44,0)-H44),0))</f>
        <v>#REF!</v>
      </c>
      <c r="J44" s="132" t="e">
        <f aca="false">G44-I44</f>
        <v>#REF!</v>
      </c>
      <c r="K44" s="378" t="e">
        <f aca="false">N43</f>
        <v>#REF!</v>
      </c>
      <c r="L44" s="379" t="e">
        <f aca="false">K44*$M$18*0.5</f>
        <v>#REF!</v>
      </c>
      <c r="M44" s="379" t="e">
        <f aca="false">IF($M$19&gt;=B44,0,IF(K44&gt;1,IF(ASS!$W$49=1,$M$16/(($M$17*2)-$M$19),-PMT($M$18/2,($M$17*2-B43),K44,0)-L44),0))</f>
        <v>#REF!</v>
      </c>
      <c r="N44" s="132" t="e">
        <f aca="false">K44-M44</f>
        <v>#REF!</v>
      </c>
      <c r="O44" s="378" t="e">
        <f aca="false">R43</f>
        <v>#REF!</v>
      </c>
      <c r="P44" s="379" t="e">
        <f aca="false">O44*$Q$18*0.5</f>
        <v>#REF!</v>
      </c>
      <c r="Q44" s="379" t="e">
        <f aca="false">IF($Q$19&gt;=B44,0,IF(O44&gt;1,IF(ASS!$W$57=1,$Q$16/(($Q$17*2)-$Q$19),-PMT($Q$18/2,($Q$17*2-B43),O44,0)-P44),0))</f>
        <v>#REF!</v>
      </c>
      <c r="R44" s="132" t="e">
        <f aca="false">O44-Q44</f>
        <v>#REF!</v>
      </c>
      <c r="S44" s="378" t="e">
        <f aca="false">V43</f>
        <v>#REF!</v>
      </c>
      <c r="T44" s="379" t="e">
        <f aca="false">S44*$U$18*0.5</f>
        <v>#REF!</v>
      </c>
      <c r="U44" s="379" t="e">
        <f aca="false">IF($U$19&gt;=B44,0,IF(S44&gt;1,IF(ASS!$W$65=1,$U$16/(($U$17*2)-$U$19),-PMT($U$18/2,($U$17*2-B43),S44,0)-T44),0))</f>
        <v>#REF!</v>
      </c>
      <c r="V44" s="132" t="e">
        <f aca="false">S44-U44</f>
        <v>#REF!</v>
      </c>
      <c r="W44" s="378" t="e">
        <f aca="false">Z43</f>
        <v>#REF!</v>
      </c>
      <c r="X44" s="379" t="e">
        <f aca="false">W44*$Y$18*0.5</f>
        <v>#REF!</v>
      </c>
      <c r="Y44" s="379" t="e">
        <f aca="false">IF($Y$19&gt;=B44,0,IF(W44&gt;1,IF(ASS!$W$73=1,$Y$16/(($Y$17*2)-$Y$19),-PMT($Y$18/2,($Y$17*2-B43),W44,0)-X44),0))</f>
        <v>#REF!</v>
      </c>
      <c r="Z44" s="132" t="e">
        <f aca="false">W44-Y44</f>
        <v>#REF!</v>
      </c>
      <c r="AA44" s="379" t="e">
        <f aca="false">SUM(D43:D44,H43:H44,L43:L44,P43:P44,T43:T44,X43:X44)</f>
        <v>#REF!</v>
      </c>
      <c r="AB44" s="132" t="e">
        <f aca="false">SUM(E43:E44,I43:I44,M43:M44,Q43:Q44,U43:U44,Y43:Y44)</f>
        <v>#REF!</v>
      </c>
    </row>
    <row r="45" customFormat="false" ht="12.75" hidden="false" customHeight="false" outlineLevel="0" collapsed="false">
      <c r="A45" s="29" t="n">
        <f aca="false">A43+1</f>
        <v>2012</v>
      </c>
      <c r="B45" s="34" t="n">
        <f aca="false">B44+1</f>
        <v>22</v>
      </c>
      <c r="C45" s="377" t="e">
        <f aca="false">F44</f>
        <v>#REF!</v>
      </c>
      <c r="D45" s="129" t="e">
        <f aca="false">C45*$E$18*0.5</f>
        <v>#REF!</v>
      </c>
      <c r="E45" s="129" t="e">
        <f aca="false">IF($E$19&gt;=B45,0,IF(C45&gt;1,IF(ASS!$W$33=1,$E$16/(($E$17*2)-$E$19),-PMT($E$18/2,($E$17*2-B44),C45,0)-D45),0))</f>
        <v>#REF!</v>
      </c>
      <c r="F45" s="128" t="e">
        <f aca="false">C45-E45</f>
        <v>#REF!</v>
      </c>
      <c r="G45" s="377" t="e">
        <f aca="false">J44</f>
        <v>#REF!</v>
      </c>
      <c r="H45" s="129" t="e">
        <f aca="false">G45*$I$18*0.5</f>
        <v>#REF!</v>
      </c>
      <c r="I45" s="129" t="e">
        <f aca="false">IF($I$19&gt;=B45,0,IF(G45&gt;1,IF(ASS!$W$41=1,$I$16/(($I$17*2)-$I$19),-PMT($I$18/2,($I$17*2-B44),G45,0)-H45),0))</f>
        <v>#REF!</v>
      </c>
      <c r="J45" s="128" t="e">
        <f aca="false">G45-I45</f>
        <v>#REF!</v>
      </c>
      <c r="K45" s="377" t="e">
        <f aca="false">N44</f>
        <v>#REF!</v>
      </c>
      <c r="L45" s="129" t="e">
        <f aca="false">K45*$M$18*0.5</f>
        <v>#REF!</v>
      </c>
      <c r="M45" s="129" t="e">
        <f aca="false">IF($M$19&gt;=B45,0,IF(K45&gt;1,IF(ASS!$W$49=1,$M$16/(($M$17*2)-$M$19),-PMT($M$18/2,($M$17*2-B44),K45,0)-L45),0))</f>
        <v>#REF!</v>
      </c>
      <c r="N45" s="128" t="e">
        <f aca="false">K45-M45</f>
        <v>#REF!</v>
      </c>
      <c r="O45" s="377" t="e">
        <f aca="false">R44</f>
        <v>#REF!</v>
      </c>
      <c r="P45" s="129" t="e">
        <f aca="false">O45*$Q$18*0.5</f>
        <v>#REF!</v>
      </c>
      <c r="Q45" s="129" t="e">
        <f aca="false">IF($Q$19&gt;=B45,0,IF(O45&gt;1,IF(ASS!$W$57=1,$Q$16/(($Q$17*2)-$Q$19),-PMT($Q$18/2,($Q$17*2-B44),O45,0)-P45),0))</f>
        <v>#REF!</v>
      </c>
      <c r="R45" s="128" t="e">
        <f aca="false">O45-Q45</f>
        <v>#REF!</v>
      </c>
      <c r="S45" s="377" t="e">
        <f aca="false">V44</f>
        <v>#REF!</v>
      </c>
      <c r="T45" s="129" t="e">
        <f aca="false">S45*$U$18*0.5</f>
        <v>#REF!</v>
      </c>
      <c r="U45" s="129" t="e">
        <f aca="false">IF($U$19&gt;=B45,0,IF(S45&gt;1,IF(ASS!$W$65=1,$U$16/(($U$17*2)-$U$19),-PMT($U$18/2,($U$17*2-B44),S45,0)-T45),0))</f>
        <v>#REF!</v>
      </c>
      <c r="V45" s="128" t="e">
        <f aca="false">S45-U45</f>
        <v>#REF!</v>
      </c>
      <c r="W45" s="377" t="e">
        <f aca="false">Z44</f>
        <v>#REF!</v>
      </c>
      <c r="X45" s="129" t="e">
        <f aca="false">W45*$Y$18*0.5</f>
        <v>#REF!</v>
      </c>
      <c r="Y45" s="129" t="e">
        <f aca="false">IF($Y$19&gt;=B45,0,IF(W45&gt;1,IF(ASS!$W$73=1,$Y$16/(($Y$17*2)-$Y$19),-PMT($Y$18/2,($Y$17*2-B44),W45,0)-X45),0))</f>
        <v>#REF!</v>
      </c>
      <c r="Z45" s="128" t="e">
        <f aca="false">W45-Y45</f>
        <v>#REF!</v>
      </c>
      <c r="AA45" s="129"/>
      <c r="AB45" s="128"/>
    </row>
    <row r="46" customFormat="false" ht="12.75" hidden="false" customHeight="false" outlineLevel="0" collapsed="false">
      <c r="A46" s="57" t="n">
        <f aca="false">A45</f>
        <v>2012</v>
      </c>
      <c r="B46" s="68" t="n">
        <f aca="false">B45+1</f>
        <v>23</v>
      </c>
      <c r="C46" s="378" t="e">
        <f aca="false">F45</f>
        <v>#REF!</v>
      </c>
      <c r="D46" s="379" t="e">
        <f aca="false">C46*$E$18*0.5</f>
        <v>#REF!</v>
      </c>
      <c r="E46" s="379" t="e">
        <f aca="false">IF($E$19&gt;=B46,0,IF(C46&gt;1,IF(ASS!$W$33=1,$E$16/(($E$17*2)-$E$19),-PMT($E$18/2,($E$17*2-B45),C46,0)-D46),0))</f>
        <v>#REF!</v>
      </c>
      <c r="F46" s="132" t="e">
        <f aca="false">C46-E46</f>
        <v>#REF!</v>
      </c>
      <c r="G46" s="378" t="e">
        <f aca="false">J45</f>
        <v>#REF!</v>
      </c>
      <c r="H46" s="379" t="e">
        <f aca="false">G46*$I$18*0.5</f>
        <v>#REF!</v>
      </c>
      <c r="I46" s="379" t="e">
        <f aca="false">IF($I$19&gt;=B46,0,IF(G46&gt;1,IF(ASS!$W$41=1,$I$16/(($I$17*2)-$I$19),-PMT($I$18/2,($I$17*2-B45),G46,0)-H46),0))</f>
        <v>#REF!</v>
      </c>
      <c r="J46" s="132" t="e">
        <f aca="false">G46-I46</f>
        <v>#REF!</v>
      </c>
      <c r="K46" s="378" t="e">
        <f aca="false">N45</f>
        <v>#REF!</v>
      </c>
      <c r="L46" s="379" t="e">
        <f aca="false">K46*$M$18*0.5</f>
        <v>#REF!</v>
      </c>
      <c r="M46" s="379" t="e">
        <f aca="false">IF($M$19&gt;=B46,0,IF(K46&gt;1,IF(ASS!$W$49=1,$M$16/(($M$17*2)-$M$19),-PMT($M$18/2,($M$17*2-B45),K46,0)-L46),0))</f>
        <v>#REF!</v>
      </c>
      <c r="N46" s="132" t="e">
        <f aca="false">K46-M46</f>
        <v>#REF!</v>
      </c>
      <c r="O46" s="378" t="e">
        <f aca="false">R45</f>
        <v>#REF!</v>
      </c>
      <c r="P46" s="379" t="e">
        <f aca="false">O46*$Q$18*0.5</f>
        <v>#REF!</v>
      </c>
      <c r="Q46" s="379" t="e">
        <f aca="false">IF($Q$19&gt;=B46,0,IF(O46&gt;1,IF(ASS!$W$57=1,$Q$16/(($Q$17*2)-$Q$19),-PMT($Q$18/2,($Q$17*2-B45),O46,0)-P46),0))</f>
        <v>#REF!</v>
      </c>
      <c r="R46" s="132" t="e">
        <f aca="false">O46-Q46</f>
        <v>#REF!</v>
      </c>
      <c r="S46" s="378" t="e">
        <f aca="false">V45</f>
        <v>#REF!</v>
      </c>
      <c r="T46" s="379" t="e">
        <f aca="false">S46*$U$18*0.5</f>
        <v>#REF!</v>
      </c>
      <c r="U46" s="379" t="e">
        <f aca="false">IF($U$19&gt;=B46,0,IF(S46&gt;1,IF(ASS!$W$65=1,$U$16/(($U$17*2)-$U$19),-PMT($U$18/2,($U$17*2-B45),S46,0)-T46),0))</f>
        <v>#REF!</v>
      </c>
      <c r="V46" s="132" t="e">
        <f aca="false">S46-U46</f>
        <v>#REF!</v>
      </c>
      <c r="W46" s="378" t="e">
        <f aca="false">Z45</f>
        <v>#REF!</v>
      </c>
      <c r="X46" s="379" t="e">
        <f aca="false">W46*$Y$18*0.5</f>
        <v>#REF!</v>
      </c>
      <c r="Y46" s="379" t="e">
        <f aca="false">IF($Y$19&gt;=B46,0,IF(W46&gt;1,IF(ASS!$W$73=1,$Y$16/(($Y$17*2)-$Y$19),-PMT($Y$18/2,($Y$17*2-B45),W46,0)-X46),0))</f>
        <v>#REF!</v>
      </c>
      <c r="Z46" s="132" t="e">
        <f aca="false">W46-Y46</f>
        <v>#REF!</v>
      </c>
      <c r="AA46" s="379" t="e">
        <f aca="false">SUM(D45:D46,H45:H46,L45:L46,P45:P46,T45:T46,X45:X46)</f>
        <v>#REF!</v>
      </c>
      <c r="AB46" s="132" t="e">
        <f aca="false">SUM(E45:E46,I45:I46,M45:M46,Q45:Q46,U45:U46,Y45:Y46)</f>
        <v>#REF!</v>
      </c>
    </row>
    <row r="47" customFormat="false" ht="12.75" hidden="false" customHeight="false" outlineLevel="0" collapsed="false">
      <c r="A47" s="29" t="n">
        <f aca="false">A45+1</f>
        <v>2013</v>
      </c>
      <c r="B47" s="34" t="n">
        <f aca="false">B46+1</f>
        <v>24</v>
      </c>
      <c r="C47" s="377" t="e">
        <f aca="false">F46</f>
        <v>#REF!</v>
      </c>
      <c r="D47" s="129" t="e">
        <f aca="false">C47*$E$18*0.5</f>
        <v>#REF!</v>
      </c>
      <c r="E47" s="129" t="e">
        <f aca="false">IF($E$19&gt;=B47,0,IF(C47&gt;1,IF(ASS!$W$33=1,$E$16/(($E$17*2)-$E$19),-PMT($E$18/2,($E$17*2-B46),C47,0)-D47),0))</f>
        <v>#REF!</v>
      </c>
      <c r="F47" s="128" t="e">
        <f aca="false">C47-E47</f>
        <v>#REF!</v>
      </c>
      <c r="G47" s="377" t="e">
        <f aca="false">J46</f>
        <v>#REF!</v>
      </c>
      <c r="H47" s="129" t="e">
        <f aca="false">G47*$I$18*0.5</f>
        <v>#REF!</v>
      </c>
      <c r="I47" s="129" t="e">
        <f aca="false">IF($I$19&gt;=B47,0,IF(G47&gt;1,IF(ASS!$W$41=1,$I$16/(($I$17*2)-$I$19),-PMT($I$18/2,($I$17*2-B46),G47,0)-H47),0))</f>
        <v>#REF!</v>
      </c>
      <c r="J47" s="128" t="e">
        <f aca="false">G47-I47</f>
        <v>#REF!</v>
      </c>
      <c r="K47" s="377" t="e">
        <f aca="false">N46</f>
        <v>#REF!</v>
      </c>
      <c r="L47" s="129" t="e">
        <f aca="false">K47*$M$18*0.5</f>
        <v>#REF!</v>
      </c>
      <c r="M47" s="129" t="e">
        <f aca="false">IF($M$19&gt;=B47,0,IF(K47&gt;1,IF(ASS!$W$49=1,$M$16/(($M$17*2)-$M$19),-PMT($M$18/2,($M$17*2-B46),K47,0)-L47),0))</f>
        <v>#REF!</v>
      </c>
      <c r="N47" s="128" t="e">
        <f aca="false">K47-M47</f>
        <v>#REF!</v>
      </c>
      <c r="O47" s="377" t="e">
        <f aca="false">R46</f>
        <v>#REF!</v>
      </c>
      <c r="P47" s="129" t="e">
        <f aca="false">O47*$Q$18*0.5</f>
        <v>#REF!</v>
      </c>
      <c r="Q47" s="129" t="e">
        <f aca="false">IF($Q$19&gt;=B47,0,IF(O47&gt;1,IF(ASS!$W$57=1,$Q$16/(($Q$17*2)-$Q$19),-PMT($Q$18/2,($Q$17*2-B46),O47,0)-P47),0))</f>
        <v>#REF!</v>
      </c>
      <c r="R47" s="128" t="e">
        <f aca="false">O47-Q47</f>
        <v>#REF!</v>
      </c>
      <c r="S47" s="377" t="e">
        <f aca="false">V46</f>
        <v>#REF!</v>
      </c>
      <c r="T47" s="129" t="e">
        <f aca="false">S47*$U$18*0.5</f>
        <v>#REF!</v>
      </c>
      <c r="U47" s="129" t="e">
        <f aca="false">IF($U$19&gt;=B47,0,IF(S47&gt;1,IF(ASS!$W$65=1,$U$16/(($U$17*2)-$U$19),-PMT($U$18/2,($U$17*2-B46),S47,0)-T47),0))</f>
        <v>#REF!</v>
      </c>
      <c r="V47" s="128" t="e">
        <f aca="false">S47-U47</f>
        <v>#REF!</v>
      </c>
      <c r="W47" s="377" t="e">
        <f aca="false">Z46</f>
        <v>#REF!</v>
      </c>
      <c r="X47" s="129" t="e">
        <f aca="false">W47*$Y$18*0.5</f>
        <v>#REF!</v>
      </c>
      <c r="Y47" s="129" t="e">
        <f aca="false">IF($Y$19&gt;=B47,0,IF(W47&gt;1,IF(ASS!$W$73=1,$Y$16/(($Y$17*2)-$Y$19),-PMT($Y$18/2,($Y$17*2-B46),W47,0)-X47),0))</f>
        <v>#REF!</v>
      </c>
      <c r="Z47" s="128" t="e">
        <f aca="false">W47-Y47</f>
        <v>#REF!</v>
      </c>
      <c r="AA47" s="129"/>
      <c r="AB47" s="128"/>
    </row>
    <row r="48" customFormat="false" ht="12.75" hidden="false" customHeight="false" outlineLevel="0" collapsed="false">
      <c r="A48" s="57" t="n">
        <f aca="false">A47</f>
        <v>2013</v>
      </c>
      <c r="B48" s="68" t="n">
        <f aca="false">B47+1</f>
        <v>25</v>
      </c>
      <c r="C48" s="378" t="e">
        <f aca="false">F47</f>
        <v>#REF!</v>
      </c>
      <c r="D48" s="379" t="e">
        <f aca="false">C48*$E$18*0.5</f>
        <v>#REF!</v>
      </c>
      <c r="E48" s="379" t="e">
        <f aca="false">IF($E$19&gt;=B48,0,IF(C48&gt;1,IF(ASS!$W$33=1,$E$16/(($E$17*2)-$E$19),-PMT($E$18/2,($E$17*2-B47),C48,0)-D48),0))</f>
        <v>#REF!</v>
      </c>
      <c r="F48" s="132" t="e">
        <f aca="false">C48-E48</f>
        <v>#REF!</v>
      </c>
      <c r="G48" s="378" t="e">
        <f aca="false">J47</f>
        <v>#REF!</v>
      </c>
      <c r="H48" s="379" t="e">
        <f aca="false">G48*$I$18*0.5</f>
        <v>#REF!</v>
      </c>
      <c r="I48" s="379" t="e">
        <f aca="false">IF($I$19&gt;=B48,0,IF(G48&gt;1,IF(ASS!$W$41=1,$I$16/(($I$17*2)-$I$19),-PMT($I$18/2,($I$17*2-B47),G48,0)-H48),0))</f>
        <v>#REF!</v>
      </c>
      <c r="J48" s="132" t="e">
        <f aca="false">G48-I48</f>
        <v>#REF!</v>
      </c>
      <c r="K48" s="378" t="e">
        <f aca="false">N47</f>
        <v>#REF!</v>
      </c>
      <c r="L48" s="379" t="e">
        <f aca="false">K48*$M$18*0.5</f>
        <v>#REF!</v>
      </c>
      <c r="M48" s="379" t="e">
        <f aca="false">IF($M$19&gt;=B48,0,IF(K48&gt;1,IF(ASS!$W$49=1,$M$16/(($M$17*2)-$M$19),-PMT($M$18/2,($M$17*2-B47),K48,0)-L48),0))</f>
        <v>#REF!</v>
      </c>
      <c r="N48" s="132" t="e">
        <f aca="false">K48-M48</f>
        <v>#REF!</v>
      </c>
      <c r="O48" s="378" t="e">
        <f aca="false">R47</f>
        <v>#REF!</v>
      </c>
      <c r="P48" s="379" t="e">
        <f aca="false">O48*$Q$18*0.5</f>
        <v>#REF!</v>
      </c>
      <c r="Q48" s="379" t="e">
        <f aca="false">IF($Q$19&gt;=B48,0,IF(O48&gt;1,IF(ASS!$W$57=1,$Q$16/(($Q$17*2)-$Q$19),-PMT($Q$18/2,($Q$17*2-B47),O48,0)-P48),0))</f>
        <v>#REF!</v>
      </c>
      <c r="R48" s="132" t="e">
        <f aca="false">O48-Q48</f>
        <v>#REF!</v>
      </c>
      <c r="S48" s="378" t="e">
        <f aca="false">V47</f>
        <v>#REF!</v>
      </c>
      <c r="T48" s="379" t="e">
        <f aca="false">S48*$U$18*0.5</f>
        <v>#REF!</v>
      </c>
      <c r="U48" s="379" t="e">
        <f aca="false">IF($U$19&gt;=B48,0,IF(S48&gt;1,IF(ASS!$W$65=1,$U$16/(($U$17*2)-$U$19),-PMT($U$18/2,($U$17*2-B47),S48,0)-T48),0))</f>
        <v>#REF!</v>
      </c>
      <c r="V48" s="132" t="e">
        <f aca="false">S48-U48</f>
        <v>#REF!</v>
      </c>
      <c r="W48" s="378" t="e">
        <f aca="false">Z47</f>
        <v>#REF!</v>
      </c>
      <c r="X48" s="379" t="e">
        <f aca="false">W48*$Y$18*0.5</f>
        <v>#REF!</v>
      </c>
      <c r="Y48" s="379" t="e">
        <f aca="false">IF($Y$19&gt;=B48,0,IF(W48&gt;1,IF(ASS!$W$73=1,$Y$16/(($Y$17*2)-$Y$19),-PMT($Y$18/2,($Y$17*2-B47),W48,0)-X48),0))</f>
        <v>#REF!</v>
      </c>
      <c r="Z48" s="132" t="e">
        <f aca="false">W48-Y48</f>
        <v>#REF!</v>
      </c>
      <c r="AA48" s="379" t="e">
        <f aca="false">SUM(D47:D48,H47:H48,L47:L48,P47:P48,T47:T48,X47:X48)</f>
        <v>#REF!</v>
      </c>
      <c r="AB48" s="132" t="e">
        <f aca="false">SUM(E47:E48,I47:I48,M47:M48,Q47:Q48,U47:U48,Y47:Y48)</f>
        <v>#REF!</v>
      </c>
    </row>
    <row r="49" customFormat="false" ht="12.75" hidden="false" customHeight="false" outlineLevel="0" collapsed="false">
      <c r="A49" s="29" t="n">
        <f aca="false">A47+1</f>
        <v>2014</v>
      </c>
      <c r="B49" s="34" t="n">
        <f aca="false">B48+1</f>
        <v>26</v>
      </c>
      <c r="C49" s="377" t="e">
        <f aca="false">F48</f>
        <v>#REF!</v>
      </c>
      <c r="D49" s="129" t="e">
        <f aca="false">C49*$E$18*0.5</f>
        <v>#REF!</v>
      </c>
      <c r="E49" s="129" t="e">
        <f aca="false">IF($E$19&gt;=B49,0,IF(C49&gt;1,IF(ASS!$W$33=1,$E$16/(($E$17*2)-$E$19),-PMT($E$18/2,($E$17*2-B48),C49,0)-D49),0))</f>
        <v>#REF!</v>
      </c>
      <c r="F49" s="128" t="e">
        <f aca="false">C49-E49</f>
        <v>#REF!</v>
      </c>
      <c r="G49" s="377" t="e">
        <f aca="false">J48</f>
        <v>#REF!</v>
      </c>
      <c r="H49" s="129" t="e">
        <f aca="false">G49*$I$18*0.5</f>
        <v>#REF!</v>
      </c>
      <c r="I49" s="129" t="e">
        <f aca="false">IF($I$19&gt;=B49,0,IF(G49&gt;1,IF(ASS!$W$41=1,$I$16/(($I$17*2)-$I$19),-PMT($I$18/2,($I$17*2-B48),G49,0)-H49),0))</f>
        <v>#REF!</v>
      </c>
      <c r="J49" s="128" t="e">
        <f aca="false">G49-I49</f>
        <v>#REF!</v>
      </c>
      <c r="K49" s="377" t="e">
        <f aca="false">N48</f>
        <v>#REF!</v>
      </c>
      <c r="L49" s="129" t="e">
        <f aca="false">K49*$M$18*0.5</f>
        <v>#REF!</v>
      </c>
      <c r="M49" s="129" t="e">
        <f aca="false">IF($M$19&gt;=B49,0,IF(K49&gt;1,IF(ASS!$W$49=1,$M$16/(($M$17*2)-$M$19),-PMT($M$18/2,($M$17*2-B48),K49,0)-L49),0))</f>
        <v>#REF!</v>
      </c>
      <c r="N49" s="128" t="e">
        <f aca="false">K49-M49</f>
        <v>#REF!</v>
      </c>
      <c r="O49" s="377" t="e">
        <f aca="false">R48</f>
        <v>#REF!</v>
      </c>
      <c r="P49" s="129" t="e">
        <f aca="false">O49*$Q$18*0.5</f>
        <v>#REF!</v>
      </c>
      <c r="Q49" s="129" t="e">
        <f aca="false">IF($Q$19&gt;=B49,0,IF(O49&gt;1,IF(ASS!$W$57=1,$Q$16/(($Q$17*2)-$Q$19),-PMT($Q$18/2,($Q$17*2-B48),O49,0)-P49),0))</f>
        <v>#REF!</v>
      </c>
      <c r="R49" s="128" t="e">
        <f aca="false">O49-Q49</f>
        <v>#REF!</v>
      </c>
      <c r="S49" s="377" t="e">
        <f aca="false">V48</f>
        <v>#REF!</v>
      </c>
      <c r="T49" s="129" t="e">
        <f aca="false">S49*$U$18*0.5</f>
        <v>#REF!</v>
      </c>
      <c r="U49" s="129" t="e">
        <f aca="false">IF($U$19&gt;=B49,0,IF(S49&gt;1,IF(ASS!$W$65=1,$U$16/(($U$17*2)-$U$19),-PMT($U$18/2,($U$17*2-B48),S49,0)-T49),0))</f>
        <v>#REF!</v>
      </c>
      <c r="V49" s="128" t="e">
        <f aca="false">S49-U49</f>
        <v>#REF!</v>
      </c>
      <c r="W49" s="377" t="e">
        <f aca="false">Z48</f>
        <v>#REF!</v>
      </c>
      <c r="X49" s="129" t="e">
        <f aca="false">W49*$Y$18*0.5</f>
        <v>#REF!</v>
      </c>
      <c r="Y49" s="129" t="e">
        <f aca="false">IF($Y$19&gt;=B49,0,IF(W49&gt;1,IF(ASS!$W$73=1,$Y$16/(($Y$17*2)-$Y$19),-PMT($Y$18/2,($Y$17*2-B48),W49,0)-X49),0))</f>
        <v>#REF!</v>
      </c>
      <c r="Z49" s="128" t="e">
        <f aca="false">W49-Y49</f>
        <v>#REF!</v>
      </c>
      <c r="AA49" s="129"/>
      <c r="AB49" s="128"/>
    </row>
    <row r="50" customFormat="false" ht="12.75" hidden="false" customHeight="false" outlineLevel="0" collapsed="false">
      <c r="A50" s="57" t="n">
        <f aca="false">A49</f>
        <v>2014</v>
      </c>
      <c r="B50" s="68" t="n">
        <f aca="false">B49+1</f>
        <v>27</v>
      </c>
      <c r="C50" s="378" t="e">
        <f aca="false">F49</f>
        <v>#REF!</v>
      </c>
      <c r="D50" s="379" t="e">
        <f aca="false">C50*$E$18*0.5</f>
        <v>#REF!</v>
      </c>
      <c r="E50" s="379" t="e">
        <f aca="false">IF($E$19&gt;=B50,0,IF(C50&gt;1,IF(ASS!$W$33=1,$E$16/(($E$17*2)-$E$19),-PMT($E$18/2,($E$17*2-B49),C50,0)-D50),0))</f>
        <v>#REF!</v>
      </c>
      <c r="F50" s="132" t="e">
        <f aca="false">C50-E50</f>
        <v>#REF!</v>
      </c>
      <c r="G50" s="378" t="e">
        <f aca="false">J49</f>
        <v>#REF!</v>
      </c>
      <c r="H50" s="379" t="e">
        <f aca="false">G50*$I$18*0.5</f>
        <v>#REF!</v>
      </c>
      <c r="I50" s="379" t="e">
        <f aca="false">IF($I$19&gt;=B50,0,IF(G50&gt;1,IF(ASS!$W$41=1,$I$16/(($I$17*2)-$I$19),-PMT($I$18/2,($I$17*2-B49),G50,0)-H50),0))</f>
        <v>#REF!</v>
      </c>
      <c r="J50" s="132" t="e">
        <f aca="false">G50-I50</f>
        <v>#REF!</v>
      </c>
      <c r="K50" s="378" t="e">
        <f aca="false">N49</f>
        <v>#REF!</v>
      </c>
      <c r="L50" s="379" t="e">
        <f aca="false">K50*$M$18*0.5</f>
        <v>#REF!</v>
      </c>
      <c r="M50" s="379" t="e">
        <f aca="false">IF($M$19&gt;=B50,0,IF(K50&gt;1,IF(ASS!$W$49=1,$M$16/(($M$17*2)-$M$19),-PMT($M$18/2,($M$17*2-B49),K50,0)-L50),0))</f>
        <v>#REF!</v>
      </c>
      <c r="N50" s="132" t="e">
        <f aca="false">K50-M50</f>
        <v>#REF!</v>
      </c>
      <c r="O50" s="378" t="e">
        <f aca="false">R49</f>
        <v>#REF!</v>
      </c>
      <c r="P50" s="379" t="e">
        <f aca="false">O50*$Q$18*0.5</f>
        <v>#REF!</v>
      </c>
      <c r="Q50" s="379" t="e">
        <f aca="false">IF($Q$19&gt;=B50,0,IF(O50&gt;1,IF(ASS!$W$57=1,$Q$16/(($Q$17*2)-$Q$19),-PMT($Q$18/2,($Q$17*2-B49),O50,0)-P50),0))</f>
        <v>#REF!</v>
      </c>
      <c r="R50" s="132" t="e">
        <f aca="false">O50-Q50</f>
        <v>#REF!</v>
      </c>
      <c r="S50" s="378" t="e">
        <f aca="false">V49</f>
        <v>#REF!</v>
      </c>
      <c r="T50" s="379" t="e">
        <f aca="false">S50*$U$18*0.5</f>
        <v>#REF!</v>
      </c>
      <c r="U50" s="379" t="e">
        <f aca="false">IF($U$19&gt;=B50,0,IF(S50&gt;1,IF(ASS!$W$65=1,$U$16/(($U$17*2)-$U$19),-PMT($U$18/2,($U$17*2-B49),S50,0)-T50),0))</f>
        <v>#REF!</v>
      </c>
      <c r="V50" s="132" t="e">
        <f aca="false">S50-U50</f>
        <v>#REF!</v>
      </c>
      <c r="W50" s="378" t="e">
        <f aca="false">Z49</f>
        <v>#REF!</v>
      </c>
      <c r="X50" s="379" t="e">
        <f aca="false">W50*$Y$18*0.5</f>
        <v>#REF!</v>
      </c>
      <c r="Y50" s="379" t="e">
        <f aca="false">IF($Y$19&gt;=B50,0,IF(W50&gt;1,IF(ASS!$W$73=1,$Y$16/(($Y$17*2)-$Y$19),-PMT($Y$18/2,($Y$17*2-B49),W50,0)-X50),0))</f>
        <v>#REF!</v>
      </c>
      <c r="Z50" s="132" t="e">
        <f aca="false">W50-Y50</f>
        <v>#REF!</v>
      </c>
      <c r="AA50" s="379" t="e">
        <f aca="false">SUM(D49:D50,H49:H50,L49:L50,P49:P50,T49:T50,X49:X50)</f>
        <v>#REF!</v>
      </c>
      <c r="AB50" s="132" t="e">
        <f aca="false">SUM(E49:E50,I49:I50,M49:M50,Q49:Q50,U49:U50,Y49:Y50)</f>
        <v>#REF!</v>
      </c>
    </row>
    <row r="51" customFormat="false" ht="12.75" hidden="false" customHeight="false" outlineLevel="0" collapsed="false">
      <c r="A51" s="29" t="n">
        <f aca="false">A49+1</f>
        <v>2015</v>
      </c>
      <c r="B51" s="34" t="n">
        <f aca="false">B50+1</f>
        <v>28</v>
      </c>
      <c r="C51" s="377" t="e">
        <f aca="false">F50</f>
        <v>#REF!</v>
      </c>
      <c r="D51" s="129" t="e">
        <f aca="false">C51*$E$18*0.5</f>
        <v>#REF!</v>
      </c>
      <c r="E51" s="129" t="e">
        <f aca="false">IF($E$19&gt;=B51,0,IF(C51&gt;1,IF(ASS!$W$33=1,$E$16/(($E$17*2)-$E$19),-PMT($E$18/2,($E$17*2-B50),C51,0)-D51),0))</f>
        <v>#REF!</v>
      </c>
      <c r="F51" s="128" t="e">
        <f aca="false">C51-E51</f>
        <v>#REF!</v>
      </c>
      <c r="G51" s="377" t="e">
        <f aca="false">J50</f>
        <v>#REF!</v>
      </c>
      <c r="H51" s="129" t="e">
        <f aca="false">G51*$I$18*0.5</f>
        <v>#REF!</v>
      </c>
      <c r="I51" s="129" t="e">
        <f aca="false">IF($I$19&gt;=B51,0,IF(G51&gt;1,IF(ASS!$W$41=1,$I$16/(($I$17*2)-$I$19),-PMT($I$18/2,($I$17*2-B50),G51,0)-H51),0))</f>
        <v>#REF!</v>
      </c>
      <c r="J51" s="128" t="e">
        <f aca="false">G51-I51</f>
        <v>#REF!</v>
      </c>
      <c r="K51" s="377" t="e">
        <f aca="false">N50</f>
        <v>#REF!</v>
      </c>
      <c r="L51" s="129" t="e">
        <f aca="false">K51*$M$18*0.5</f>
        <v>#REF!</v>
      </c>
      <c r="M51" s="129" t="e">
        <f aca="false">IF($M$19&gt;=B51,0,IF(K51&gt;1,IF(ASS!$W$49=1,$M$16/(($M$17*2)-$M$19),-PMT($M$18/2,($M$17*2-B50),K51,0)-L51),0))</f>
        <v>#REF!</v>
      </c>
      <c r="N51" s="128" t="e">
        <f aca="false">K51-M51</f>
        <v>#REF!</v>
      </c>
      <c r="O51" s="377" t="e">
        <f aca="false">R50</f>
        <v>#REF!</v>
      </c>
      <c r="P51" s="129" t="e">
        <f aca="false">O51*$Q$18*0.5</f>
        <v>#REF!</v>
      </c>
      <c r="Q51" s="129" t="e">
        <f aca="false">IF($Q$19&gt;=B51,0,IF(O51&gt;1,IF(ASS!$W$57=1,$Q$16/(($Q$17*2)-$Q$19),-PMT($Q$18/2,($Q$17*2-B50),O51,0)-P51),0))</f>
        <v>#REF!</v>
      </c>
      <c r="R51" s="128" t="e">
        <f aca="false">O51-Q51</f>
        <v>#REF!</v>
      </c>
      <c r="S51" s="377" t="e">
        <f aca="false">V50</f>
        <v>#REF!</v>
      </c>
      <c r="T51" s="129" t="e">
        <f aca="false">S51*$U$18*0.5</f>
        <v>#REF!</v>
      </c>
      <c r="U51" s="129" t="e">
        <f aca="false">IF($U$19&gt;=B51,0,IF(S51&gt;1,IF(ASS!$W$65=1,$U$16/(($U$17*2)-$U$19),-PMT($U$18/2,($U$17*2-B50),S51,0)-T51),0))</f>
        <v>#REF!</v>
      </c>
      <c r="V51" s="128" t="e">
        <f aca="false">S51-U51</f>
        <v>#REF!</v>
      </c>
      <c r="W51" s="377" t="e">
        <f aca="false">Z50</f>
        <v>#REF!</v>
      </c>
      <c r="X51" s="129" t="e">
        <f aca="false">W51*$Y$18*0.5</f>
        <v>#REF!</v>
      </c>
      <c r="Y51" s="129" t="e">
        <f aca="false">IF($Y$19&gt;=B51,0,IF(W51&gt;1,IF(ASS!$W$73=1,$Y$16/(($Y$17*2)-$Y$19),-PMT($Y$18/2,($Y$17*2-B50),W51,0)-X51),0))</f>
        <v>#REF!</v>
      </c>
      <c r="Z51" s="128" t="e">
        <f aca="false">W51-Y51</f>
        <v>#REF!</v>
      </c>
      <c r="AA51" s="129"/>
      <c r="AB51" s="128"/>
    </row>
    <row r="52" customFormat="false" ht="12.75" hidden="false" customHeight="false" outlineLevel="0" collapsed="false">
      <c r="A52" s="57" t="n">
        <f aca="false">A51</f>
        <v>2015</v>
      </c>
      <c r="B52" s="68" t="n">
        <f aca="false">B51+1</f>
        <v>29</v>
      </c>
      <c r="C52" s="378" t="e">
        <f aca="false">F51</f>
        <v>#REF!</v>
      </c>
      <c r="D52" s="379" t="e">
        <f aca="false">C52*$E$18*0.5</f>
        <v>#REF!</v>
      </c>
      <c r="E52" s="379" t="e">
        <f aca="false">IF($E$19&gt;=B52,0,IF(C52&gt;1,IF(ASS!$W$33=1,$E$16/(($E$17*2)-$E$19),-PMT($E$18/2,($E$17*2-B51),C52,0)-D52),0))</f>
        <v>#REF!</v>
      </c>
      <c r="F52" s="132" t="e">
        <f aca="false">C52-E52</f>
        <v>#REF!</v>
      </c>
      <c r="G52" s="378" t="e">
        <f aca="false">J51</f>
        <v>#REF!</v>
      </c>
      <c r="H52" s="379" t="e">
        <f aca="false">G52*$I$18*0.5</f>
        <v>#REF!</v>
      </c>
      <c r="I52" s="379" t="e">
        <f aca="false">IF($I$19&gt;=B52,0,IF(G52&gt;1,IF(ASS!$W$41=1,$I$16/(($I$17*2)-$I$19),-PMT($I$18/2,($I$17*2-B51),G52,0)-H52),0))</f>
        <v>#REF!</v>
      </c>
      <c r="J52" s="132" t="e">
        <f aca="false">G52-I52</f>
        <v>#REF!</v>
      </c>
      <c r="K52" s="378" t="e">
        <f aca="false">N51</f>
        <v>#REF!</v>
      </c>
      <c r="L52" s="379" t="e">
        <f aca="false">K52*$M$18*0.5</f>
        <v>#REF!</v>
      </c>
      <c r="M52" s="379" t="e">
        <f aca="false">IF($M$19&gt;=B52,0,IF(K52&gt;1,IF(ASS!$W$49=1,$M$16/(($M$17*2)-$M$19),-PMT($M$18/2,($M$17*2-B51),K52,0)-L52),0))</f>
        <v>#REF!</v>
      </c>
      <c r="N52" s="132" t="e">
        <f aca="false">K52-M52</f>
        <v>#REF!</v>
      </c>
      <c r="O52" s="378" t="e">
        <f aca="false">R51</f>
        <v>#REF!</v>
      </c>
      <c r="P52" s="379" t="e">
        <f aca="false">O52*$Q$18*0.5</f>
        <v>#REF!</v>
      </c>
      <c r="Q52" s="379" t="e">
        <f aca="false">IF($Q$19&gt;=B52,0,IF(O52&gt;1,IF(ASS!$W$57=1,$Q$16/(($Q$17*2)-$Q$19),-PMT($Q$18/2,($Q$17*2-B51),O52,0)-P52),0))</f>
        <v>#REF!</v>
      </c>
      <c r="R52" s="132" t="e">
        <f aca="false">O52-Q52</f>
        <v>#REF!</v>
      </c>
      <c r="S52" s="378" t="e">
        <f aca="false">V51</f>
        <v>#REF!</v>
      </c>
      <c r="T52" s="379" t="e">
        <f aca="false">S52*$U$18*0.5</f>
        <v>#REF!</v>
      </c>
      <c r="U52" s="379" t="e">
        <f aca="false">IF($U$19&gt;=B52,0,IF(S52&gt;1,IF(ASS!$W$65=1,$U$16/(($U$17*2)-$U$19),-PMT($U$18/2,($U$17*2-B51),S52,0)-T52),0))</f>
        <v>#REF!</v>
      </c>
      <c r="V52" s="132" t="e">
        <f aca="false">S52-U52</f>
        <v>#REF!</v>
      </c>
      <c r="W52" s="378" t="e">
        <f aca="false">Z51</f>
        <v>#REF!</v>
      </c>
      <c r="X52" s="379" t="e">
        <f aca="false">W52*$Y$18*0.5</f>
        <v>#REF!</v>
      </c>
      <c r="Y52" s="379" t="e">
        <f aca="false">IF($Y$19&gt;=B52,0,IF(W52&gt;1,IF(ASS!$W$73=1,$Y$16/(($Y$17*2)-$Y$19),-PMT($Y$18/2,($Y$17*2-B51),W52,0)-X52),0))</f>
        <v>#REF!</v>
      </c>
      <c r="Z52" s="132" t="e">
        <f aca="false">W52-Y52</f>
        <v>#REF!</v>
      </c>
      <c r="AA52" s="379" t="e">
        <f aca="false">SUM(D51:D52,H51:H52,L51:L52,P51:P52,T51:T52,X51:X52)</f>
        <v>#REF!</v>
      </c>
      <c r="AB52" s="132" t="e">
        <f aca="false">SUM(E51:E52,I51:I52,M51:M52,Q51:Q52,U51:U52,Y51:Y52)</f>
        <v>#REF!</v>
      </c>
    </row>
    <row r="53" customFormat="false" ht="12.75" hidden="false" customHeight="false" outlineLevel="0" collapsed="false">
      <c r="A53" s="29" t="n">
        <f aca="false">A51+1</f>
        <v>2016</v>
      </c>
      <c r="B53" s="34" t="n">
        <f aca="false">B52+1</f>
        <v>30</v>
      </c>
      <c r="C53" s="377" t="e">
        <f aca="false">F52</f>
        <v>#REF!</v>
      </c>
      <c r="D53" s="129" t="e">
        <f aca="false">C53*$E$18*0.5</f>
        <v>#REF!</v>
      </c>
      <c r="E53" s="129" t="e">
        <f aca="false">IF($E$19&gt;=B53,0,IF(C53&gt;1,IF(ASS!$W$33=1,$E$16/(($E$17*2)-$E$19),-PMT($E$18/2,($E$17*2-B52),C53,0)-D53),0))</f>
        <v>#REF!</v>
      </c>
      <c r="F53" s="128" t="e">
        <f aca="false">C53-E53</f>
        <v>#REF!</v>
      </c>
      <c r="G53" s="377" t="e">
        <f aca="false">J52</f>
        <v>#REF!</v>
      </c>
      <c r="H53" s="129" t="e">
        <f aca="false">G53*$I$18*0.5</f>
        <v>#REF!</v>
      </c>
      <c r="I53" s="129" t="e">
        <f aca="false">IF($I$19&gt;=B53,0,IF(G53&gt;1,IF(ASS!$W$41=1,$I$16/(($I$17*2)-$I$19),-PMT($I$18/2,($I$17*2-B52),G53,0)-H53),0))</f>
        <v>#REF!</v>
      </c>
      <c r="J53" s="128" t="e">
        <f aca="false">G53-I53</f>
        <v>#REF!</v>
      </c>
      <c r="K53" s="377" t="e">
        <f aca="false">N52</f>
        <v>#REF!</v>
      </c>
      <c r="L53" s="129" t="e">
        <f aca="false">K53*$M$18*0.5</f>
        <v>#REF!</v>
      </c>
      <c r="M53" s="129" t="e">
        <f aca="false">IF($M$19&gt;=B53,0,IF(K53&gt;1,IF(ASS!$W$49=1,$M$16/(($M$17*2)-$M$19),-PMT($M$18/2,($M$17*2-B52),K53,0)-L53),0))</f>
        <v>#REF!</v>
      </c>
      <c r="N53" s="128" t="e">
        <f aca="false">K53-M53</f>
        <v>#REF!</v>
      </c>
      <c r="O53" s="377" t="e">
        <f aca="false">R52</f>
        <v>#REF!</v>
      </c>
      <c r="P53" s="129" t="e">
        <f aca="false">O53*$Q$18*0.5</f>
        <v>#REF!</v>
      </c>
      <c r="Q53" s="129" t="e">
        <f aca="false">IF($Q$19&gt;=B53,0,IF(O53&gt;1,IF(ASS!$W$57=1,$Q$16/(($Q$17*2)-$Q$19),-PMT($Q$18/2,($Q$17*2-B52),O53,0)-P53),0))</f>
        <v>#REF!</v>
      </c>
      <c r="R53" s="128" t="e">
        <f aca="false">O53-Q53</f>
        <v>#REF!</v>
      </c>
      <c r="S53" s="377" t="e">
        <f aca="false">V52</f>
        <v>#REF!</v>
      </c>
      <c r="T53" s="129" t="e">
        <f aca="false">S53*$U$18*0.5</f>
        <v>#REF!</v>
      </c>
      <c r="U53" s="129" t="e">
        <f aca="false">IF($U$19&gt;=B53,0,IF(S53&gt;1,IF(ASS!$W$65=1,$U$16/(($U$17*2)-$U$19),-PMT($U$18/2,($U$17*2-B52),S53,0)-T53),0))</f>
        <v>#REF!</v>
      </c>
      <c r="V53" s="128" t="e">
        <f aca="false">S53-U53</f>
        <v>#REF!</v>
      </c>
      <c r="W53" s="377" t="e">
        <f aca="false">Z52</f>
        <v>#REF!</v>
      </c>
      <c r="X53" s="129" t="e">
        <f aca="false">W53*$Y$18*0.5</f>
        <v>#REF!</v>
      </c>
      <c r="Y53" s="129" t="e">
        <f aca="false">IF($Y$19&gt;=B53,0,IF(W53&gt;1,IF(ASS!$W$73=1,$Y$16/(($Y$17*2)-$Y$19),-PMT($Y$18/2,($Y$17*2-B52),W53,0)-X53),0))</f>
        <v>#REF!</v>
      </c>
      <c r="Z53" s="128" t="e">
        <f aca="false">W53-Y53</f>
        <v>#REF!</v>
      </c>
      <c r="AA53" s="129"/>
      <c r="AB53" s="128"/>
    </row>
    <row r="54" customFormat="false" ht="12.75" hidden="false" customHeight="false" outlineLevel="0" collapsed="false">
      <c r="A54" s="57" t="n">
        <f aca="false">A53</f>
        <v>2016</v>
      </c>
      <c r="B54" s="68" t="n">
        <f aca="false">B53+1</f>
        <v>31</v>
      </c>
      <c r="C54" s="378" t="e">
        <f aca="false">F53</f>
        <v>#REF!</v>
      </c>
      <c r="D54" s="379" t="e">
        <f aca="false">C54*$E$18*0.5</f>
        <v>#REF!</v>
      </c>
      <c r="E54" s="379" t="e">
        <f aca="false">IF($E$19&gt;=B54,0,IF(C54&gt;1,IF(ASS!$W$33=1,$E$16/(($E$17*2)-$E$19),-PMT($E$18/2,($E$17*2-B53),C54,0)-D54),0))</f>
        <v>#REF!</v>
      </c>
      <c r="F54" s="132" t="e">
        <f aca="false">C54-E54</f>
        <v>#REF!</v>
      </c>
      <c r="G54" s="378" t="e">
        <f aca="false">J53</f>
        <v>#REF!</v>
      </c>
      <c r="H54" s="379" t="e">
        <f aca="false">G54*$I$18*0.5</f>
        <v>#REF!</v>
      </c>
      <c r="I54" s="379" t="e">
        <f aca="false">IF($I$19&gt;=B54,0,IF(G54&gt;1,IF(ASS!$W$41=1,$I$16/(($I$17*2)-$I$19),-PMT($I$18/2,($I$17*2-B53),G54,0)-H54),0))</f>
        <v>#REF!</v>
      </c>
      <c r="J54" s="132" t="e">
        <f aca="false">G54-I54</f>
        <v>#REF!</v>
      </c>
      <c r="K54" s="378" t="e">
        <f aca="false">N53</f>
        <v>#REF!</v>
      </c>
      <c r="L54" s="379" t="e">
        <f aca="false">K54*$M$18*0.5</f>
        <v>#REF!</v>
      </c>
      <c r="M54" s="379" t="e">
        <f aca="false">IF($M$19&gt;=B54,0,IF(K54&gt;1,IF(ASS!$W$49=1,$M$16/(($M$17*2)-$M$19),-PMT($M$18/2,($M$17*2-B53),K54,0)-L54),0))</f>
        <v>#REF!</v>
      </c>
      <c r="N54" s="132" t="e">
        <f aca="false">K54-M54</f>
        <v>#REF!</v>
      </c>
      <c r="O54" s="378" t="e">
        <f aca="false">R53</f>
        <v>#REF!</v>
      </c>
      <c r="P54" s="379" t="e">
        <f aca="false">O54*$Q$18*0.5</f>
        <v>#REF!</v>
      </c>
      <c r="Q54" s="379" t="e">
        <f aca="false">IF($Q$19&gt;=B54,0,IF(O54&gt;1,IF(ASS!$W$57=1,$Q$16/(($Q$17*2)-$Q$19),-PMT($Q$18/2,($Q$17*2-B53),O54,0)-P54),0))</f>
        <v>#REF!</v>
      </c>
      <c r="R54" s="132" t="e">
        <f aca="false">O54-Q54</f>
        <v>#REF!</v>
      </c>
      <c r="S54" s="378" t="e">
        <f aca="false">V53</f>
        <v>#REF!</v>
      </c>
      <c r="T54" s="379" t="e">
        <f aca="false">S54*$U$18*0.5</f>
        <v>#REF!</v>
      </c>
      <c r="U54" s="379" t="e">
        <f aca="false">IF($U$19&gt;=B54,0,IF(S54&gt;1,IF(ASS!$W$65=1,$U$16/(($U$17*2)-$U$19),-PMT($U$18/2,($U$17*2-B53),S54,0)-T54),0))</f>
        <v>#REF!</v>
      </c>
      <c r="V54" s="132" t="e">
        <f aca="false">S54-U54</f>
        <v>#REF!</v>
      </c>
      <c r="W54" s="378" t="e">
        <f aca="false">Z53</f>
        <v>#REF!</v>
      </c>
      <c r="X54" s="379" t="e">
        <f aca="false">W54*$Y$18*0.5</f>
        <v>#REF!</v>
      </c>
      <c r="Y54" s="379" t="e">
        <f aca="false">IF($Y$19&gt;=B54,0,IF(W54&gt;1,IF(ASS!$W$73=1,$Y$16/(($Y$17*2)-$Y$19),-PMT($Y$18/2,($Y$17*2-B53),W54,0)-X54),0))</f>
        <v>#REF!</v>
      </c>
      <c r="Z54" s="132" t="e">
        <f aca="false">W54-Y54</f>
        <v>#REF!</v>
      </c>
      <c r="AA54" s="379" t="e">
        <f aca="false">SUM(D53:D54,H53:H54,L53:L54,P53:P54,T53:T54,X53:X54)</f>
        <v>#REF!</v>
      </c>
      <c r="AB54" s="132" t="e">
        <f aca="false">SUM(E53:E54,I53:I54,M53:M54,Q53:Q54,U53:U54,Y53:Y54)</f>
        <v>#REF!</v>
      </c>
    </row>
    <row r="55" customFormat="false" ht="12.75" hidden="false" customHeight="false" outlineLevel="0" collapsed="false">
      <c r="A55" s="29" t="n">
        <f aca="false">A53+1</f>
        <v>2017</v>
      </c>
      <c r="B55" s="34" t="n">
        <f aca="false">B54+1</f>
        <v>32</v>
      </c>
      <c r="C55" s="377" t="e">
        <f aca="false">F54</f>
        <v>#REF!</v>
      </c>
      <c r="D55" s="129" t="e">
        <f aca="false">C55*$E$18*0.5</f>
        <v>#REF!</v>
      </c>
      <c r="E55" s="129" t="e">
        <f aca="false">IF($E$19&gt;=B55,0,IF(C55&gt;1,IF(ASS!$W$33=1,$E$16/(($E$17*2)-$E$19),-PMT($E$18/2,($E$17*2-B54),C55,0)-D55),0))</f>
        <v>#REF!</v>
      </c>
      <c r="F55" s="128" t="e">
        <f aca="false">C55-E55</f>
        <v>#REF!</v>
      </c>
      <c r="G55" s="377" t="e">
        <f aca="false">J54</f>
        <v>#REF!</v>
      </c>
      <c r="H55" s="129" t="e">
        <f aca="false">G55*$I$18*0.5</f>
        <v>#REF!</v>
      </c>
      <c r="I55" s="129" t="e">
        <f aca="false">IF($I$19&gt;=B55,0,IF(G55&gt;1,IF(ASS!$W$41=1,$I$16/(($I$17*2)-$I$19),-PMT($I$18/2,($I$17*2-B54),G55,0)-H55),0))</f>
        <v>#REF!</v>
      </c>
      <c r="J55" s="128" t="e">
        <f aca="false">G55-I55</f>
        <v>#REF!</v>
      </c>
      <c r="K55" s="377" t="e">
        <f aca="false">N54</f>
        <v>#REF!</v>
      </c>
      <c r="L55" s="129" t="e">
        <f aca="false">K55*$M$18*0.5</f>
        <v>#REF!</v>
      </c>
      <c r="M55" s="129" t="e">
        <f aca="false">IF($M$19&gt;=B55,0,IF(K55&gt;1,IF(ASS!$W$49=1,$M$16/(($M$17*2)-$M$19),-PMT($M$18/2,($M$17*2-B54),K55,0)-L55),0))</f>
        <v>#REF!</v>
      </c>
      <c r="N55" s="128" t="e">
        <f aca="false">K55-M55</f>
        <v>#REF!</v>
      </c>
      <c r="O55" s="377" t="e">
        <f aca="false">R54</f>
        <v>#REF!</v>
      </c>
      <c r="P55" s="129" t="e">
        <f aca="false">O55*$Q$18*0.5</f>
        <v>#REF!</v>
      </c>
      <c r="Q55" s="129" t="e">
        <f aca="false">IF($Q$19&gt;=B55,0,IF(O55&gt;1,IF(ASS!$W$57=1,$Q$16/(($Q$17*2)-$Q$19),-PMT($Q$18/2,($Q$17*2-B54),O55,0)-P55),0))</f>
        <v>#REF!</v>
      </c>
      <c r="R55" s="128" t="e">
        <f aca="false">O55-Q55</f>
        <v>#REF!</v>
      </c>
      <c r="S55" s="377" t="e">
        <f aca="false">V54</f>
        <v>#REF!</v>
      </c>
      <c r="T55" s="129" t="e">
        <f aca="false">S55*$U$18*0.5</f>
        <v>#REF!</v>
      </c>
      <c r="U55" s="129" t="e">
        <f aca="false">IF($U$19&gt;=B55,0,IF(S55&gt;1,IF(ASS!$W$65=1,$U$16/(($U$17*2)-$U$19),-PMT($U$18/2,($U$17*2-B54),S55,0)-T55),0))</f>
        <v>#REF!</v>
      </c>
      <c r="V55" s="128" t="e">
        <f aca="false">S55-U55</f>
        <v>#REF!</v>
      </c>
      <c r="W55" s="377" t="e">
        <f aca="false">Z54</f>
        <v>#REF!</v>
      </c>
      <c r="X55" s="129" t="e">
        <f aca="false">W55*$Y$18*0.5</f>
        <v>#REF!</v>
      </c>
      <c r="Y55" s="129" t="e">
        <f aca="false">IF($Y$19&gt;=B55,0,IF(W55&gt;1,IF(ASS!$W$73=1,$Y$16/(($Y$17*2)-$Y$19),-PMT($Y$18/2,($Y$17*2-B54),W55,0)-X55),0))</f>
        <v>#REF!</v>
      </c>
      <c r="Z55" s="128" t="e">
        <f aca="false">W55-Y55</f>
        <v>#REF!</v>
      </c>
      <c r="AA55" s="129"/>
      <c r="AB55" s="128"/>
    </row>
    <row r="56" customFormat="false" ht="12.75" hidden="false" customHeight="false" outlineLevel="0" collapsed="false">
      <c r="A56" s="57" t="n">
        <f aca="false">A55</f>
        <v>2017</v>
      </c>
      <c r="B56" s="68" t="n">
        <f aca="false">B55+1</f>
        <v>33</v>
      </c>
      <c r="C56" s="378" t="e">
        <f aca="false">F55</f>
        <v>#REF!</v>
      </c>
      <c r="D56" s="379" t="e">
        <f aca="false">C56*$E$18*0.5</f>
        <v>#REF!</v>
      </c>
      <c r="E56" s="379" t="e">
        <f aca="false">IF($E$19&gt;=B56,0,IF(C56&gt;1,IF(ASS!$W$33=1,$E$16/(($E$17*2)-$E$19),-PMT($E$18/2,($E$17*2-B55),C56,0)-D56),0))</f>
        <v>#REF!</v>
      </c>
      <c r="F56" s="132" t="e">
        <f aca="false">C56-E56</f>
        <v>#REF!</v>
      </c>
      <c r="G56" s="378" t="e">
        <f aca="false">J55</f>
        <v>#REF!</v>
      </c>
      <c r="H56" s="379" t="e">
        <f aca="false">G56*$I$18*0.5</f>
        <v>#REF!</v>
      </c>
      <c r="I56" s="379" t="e">
        <f aca="false">IF($I$19&gt;=B56,0,IF(G56&gt;1,IF(ASS!$W$41=1,$I$16/(($I$17*2)-$I$19),-PMT($I$18/2,($I$17*2-B55),G56,0)-H56),0))</f>
        <v>#REF!</v>
      </c>
      <c r="J56" s="132" t="e">
        <f aca="false">G56-I56</f>
        <v>#REF!</v>
      </c>
      <c r="K56" s="378" t="e">
        <f aca="false">N55</f>
        <v>#REF!</v>
      </c>
      <c r="L56" s="379" t="e">
        <f aca="false">K56*$M$18*0.5</f>
        <v>#REF!</v>
      </c>
      <c r="M56" s="379" t="e">
        <f aca="false">IF($M$19&gt;=B56,0,IF(K56&gt;1,IF(ASS!$W$49=1,$M$16/(($M$17*2)-$M$19),-PMT($M$18/2,($M$17*2-B55),K56,0)-L56),0))</f>
        <v>#REF!</v>
      </c>
      <c r="N56" s="132" t="e">
        <f aca="false">K56-M56</f>
        <v>#REF!</v>
      </c>
      <c r="O56" s="378" t="e">
        <f aca="false">R55</f>
        <v>#REF!</v>
      </c>
      <c r="P56" s="379" t="e">
        <f aca="false">O56*$Q$18*0.5</f>
        <v>#REF!</v>
      </c>
      <c r="Q56" s="379" t="e">
        <f aca="false">IF($Q$19&gt;=B56,0,IF(O56&gt;1,IF(ASS!$W$57=1,$Q$16/(($Q$17*2)-$Q$19),-PMT($Q$18/2,($Q$17*2-B55),O56,0)-P56),0))</f>
        <v>#REF!</v>
      </c>
      <c r="R56" s="132" t="e">
        <f aca="false">O56-Q56</f>
        <v>#REF!</v>
      </c>
      <c r="S56" s="378" t="e">
        <f aca="false">V55</f>
        <v>#REF!</v>
      </c>
      <c r="T56" s="379" t="e">
        <f aca="false">S56*$U$18*0.5</f>
        <v>#REF!</v>
      </c>
      <c r="U56" s="379" t="e">
        <f aca="false">IF($U$19&gt;=B56,0,IF(S56&gt;1,IF(ASS!$W$65=1,$U$16/(($U$17*2)-$U$19),-PMT($U$18/2,($U$17*2-B55),S56,0)-T56),0))</f>
        <v>#REF!</v>
      </c>
      <c r="V56" s="132" t="e">
        <f aca="false">S56-U56</f>
        <v>#REF!</v>
      </c>
      <c r="W56" s="378" t="e">
        <f aca="false">Z55</f>
        <v>#REF!</v>
      </c>
      <c r="X56" s="379" t="e">
        <f aca="false">W56*$Y$18*0.5</f>
        <v>#REF!</v>
      </c>
      <c r="Y56" s="379" t="e">
        <f aca="false">IF($Y$19&gt;=B56,0,IF(W56&gt;1,IF(ASS!$W$73=1,$Y$16/(($Y$17*2)-$Y$19),-PMT($Y$18/2,($Y$17*2-B55),W56,0)-X56),0))</f>
        <v>#REF!</v>
      </c>
      <c r="Z56" s="132" t="e">
        <f aca="false">W56-Y56</f>
        <v>#REF!</v>
      </c>
      <c r="AA56" s="379" t="e">
        <f aca="false">SUM(D55:D56,H55:H56,L55:L56,P55:P56,T55:T56,X55:X56)</f>
        <v>#REF!</v>
      </c>
      <c r="AB56" s="132" t="e">
        <f aca="false">SUM(E55:E56,I55:I56,M55:M56,Q55:Q56,U55:U56,Y55:Y56)</f>
        <v>#REF!</v>
      </c>
    </row>
    <row r="57" customFormat="false" ht="12.75" hidden="false" customHeight="false" outlineLevel="0" collapsed="false">
      <c r="A57" s="29" t="n">
        <f aca="false">A55+1</f>
        <v>2018</v>
      </c>
      <c r="B57" s="34" t="n">
        <f aca="false">B56+1</f>
        <v>34</v>
      </c>
      <c r="C57" s="377" t="e">
        <f aca="false">F56</f>
        <v>#REF!</v>
      </c>
      <c r="D57" s="129" t="e">
        <f aca="false">C57*$E$18*0.5</f>
        <v>#REF!</v>
      </c>
      <c r="E57" s="129" t="e">
        <f aca="false">IF($E$19&gt;=B57,0,IF(C57&gt;1,IF(ASS!$W$33=1,$E$16/(($E$17*2)-$E$19),-PMT($E$18/2,($E$17*2-B56),C57,0)-D57),0))</f>
        <v>#REF!</v>
      </c>
      <c r="F57" s="128" t="e">
        <f aca="false">C57-E57</f>
        <v>#REF!</v>
      </c>
      <c r="G57" s="377" t="e">
        <f aca="false">J56</f>
        <v>#REF!</v>
      </c>
      <c r="H57" s="129" t="e">
        <f aca="false">G57*$I$18*0.5</f>
        <v>#REF!</v>
      </c>
      <c r="I57" s="129" t="e">
        <f aca="false">IF($I$19&gt;=B57,0,IF(G57&gt;1,IF(ASS!$W$41=1,$I$16/(($I$17*2)-$I$19),-PMT($I$18/2,($I$17*2-B56),G57,0)-H57),0))</f>
        <v>#REF!</v>
      </c>
      <c r="J57" s="128" t="e">
        <f aca="false">G57-I57</f>
        <v>#REF!</v>
      </c>
      <c r="K57" s="377" t="e">
        <f aca="false">N56</f>
        <v>#REF!</v>
      </c>
      <c r="L57" s="129" t="e">
        <f aca="false">K57*$M$18*0.5</f>
        <v>#REF!</v>
      </c>
      <c r="M57" s="129" t="e">
        <f aca="false">IF($M$19&gt;=B57,0,IF(K57&gt;1,IF(ASS!$W$49=1,$M$16/(($M$17*2)-$M$19),-PMT($M$18/2,($M$17*2-B56),K57,0)-L57),0))</f>
        <v>#REF!</v>
      </c>
      <c r="N57" s="128" t="e">
        <f aca="false">K57-M57</f>
        <v>#REF!</v>
      </c>
      <c r="O57" s="377" t="e">
        <f aca="false">R56</f>
        <v>#REF!</v>
      </c>
      <c r="P57" s="129" t="e">
        <f aca="false">O57*$Q$18*0.5</f>
        <v>#REF!</v>
      </c>
      <c r="Q57" s="129" t="e">
        <f aca="false">IF($Q$19&gt;=B57,0,IF(O57&gt;1,IF(ASS!$W$57=1,$Q$16/(($Q$17*2)-$Q$19),-PMT($Q$18/2,($Q$17*2-B56),O57,0)-P57),0))</f>
        <v>#REF!</v>
      </c>
      <c r="R57" s="128" t="e">
        <f aca="false">O57-Q57</f>
        <v>#REF!</v>
      </c>
      <c r="S57" s="377" t="e">
        <f aca="false">V56</f>
        <v>#REF!</v>
      </c>
      <c r="T57" s="129" t="e">
        <f aca="false">S57*$U$18*0.5</f>
        <v>#REF!</v>
      </c>
      <c r="U57" s="129" t="e">
        <f aca="false">IF($U$19&gt;=B57,0,IF(S57&gt;1,IF(ASS!$W$65=1,$U$16/(($U$17*2)-$U$19),-PMT($U$18/2,($U$17*2-B56),S57,0)-T57),0))</f>
        <v>#REF!</v>
      </c>
      <c r="V57" s="128" t="e">
        <f aca="false">S57-U57</f>
        <v>#REF!</v>
      </c>
      <c r="W57" s="377" t="e">
        <f aca="false">Z56</f>
        <v>#REF!</v>
      </c>
      <c r="X57" s="129" t="e">
        <f aca="false">W57*$Y$18*0.5</f>
        <v>#REF!</v>
      </c>
      <c r="Y57" s="129" t="e">
        <f aca="false">IF($Y$19&gt;=B57,0,IF(W57&gt;1,IF(ASS!$W$73=1,$Y$16/(($Y$17*2)-$Y$19),-PMT($Y$18/2,($Y$17*2-B56),W57,0)-X57),0))</f>
        <v>#REF!</v>
      </c>
      <c r="Z57" s="128" t="e">
        <f aca="false">W57-Y57</f>
        <v>#REF!</v>
      </c>
      <c r="AA57" s="129"/>
      <c r="AB57" s="128"/>
    </row>
    <row r="58" customFormat="false" ht="12.75" hidden="false" customHeight="false" outlineLevel="0" collapsed="false">
      <c r="A58" s="57" t="n">
        <f aca="false">A57</f>
        <v>2018</v>
      </c>
      <c r="B58" s="68" t="n">
        <f aca="false">B57+1</f>
        <v>35</v>
      </c>
      <c r="C58" s="378" t="e">
        <f aca="false">F57</f>
        <v>#REF!</v>
      </c>
      <c r="D58" s="379" t="e">
        <f aca="false">C58*$E$18*0.5</f>
        <v>#REF!</v>
      </c>
      <c r="E58" s="379" t="e">
        <f aca="false">IF($E$19&gt;=B58,0,IF(C58&gt;1,IF(ASS!$W$33=1,$E$16/(($E$17*2)-$E$19),-PMT($E$18/2,($E$17*2-B57),C58,0)-D58),0))</f>
        <v>#REF!</v>
      </c>
      <c r="F58" s="132" t="e">
        <f aca="false">C58-E58</f>
        <v>#REF!</v>
      </c>
      <c r="G58" s="378" t="e">
        <f aca="false">J57</f>
        <v>#REF!</v>
      </c>
      <c r="H58" s="379" t="e">
        <f aca="false">G58*$I$18*0.5</f>
        <v>#REF!</v>
      </c>
      <c r="I58" s="379" t="e">
        <f aca="false">IF($I$19&gt;=B58,0,IF(G58&gt;1,IF(ASS!$W$41=1,$I$16/(($I$17*2)-$I$19),-PMT($I$18/2,($I$17*2-B57),G58,0)-H58),0))</f>
        <v>#REF!</v>
      </c>
      <c r="J58" s="132" t="e">
        <f aca="false">G58-I58</f>
        <v>#REF!</v>
      </c>
      <c r="K58" s="378" t="e">
        <f aca="false">N57</f>
        <v>#REF!</v>
      </c>
      <c r="L58" s="379" t="e">
        <f aca="false">K58*$M$18*0.5</f>
        <v>#REF!</v>
      </c>
      <c r="M58" s="379" t="e">
        <f aca="false">IF($M$19&gt;=B58,0,IF(K58&gt;1,IF(ASS!$W$49=1,$M$16/(($M$17*2)-$M$19),-PMT($M$18/2,($M$17*2-B57),K58,0)-L58),0))</f>
        <v>#REF!</v>
      </c>
      <c r="N58" s="132" t="e">
        <f aca="false">K58-M58</f>
        <v>#REF!</v>
      </c>
      <c r="O58" s="378" t="e">
        <f aca="false">R57</f>
        <v>#REF!</v>
      </c>
      <c r="P58" s="379" t="e">
        <f aca="false">O58*$Q$18*0.5</f>
        <v>#REF!</v>
      </c>
      <c r="Q58" s="379" t="e">
        <f aca="false">IF($Q$19&gt;=B58,0,IF(O58&gt;1,IF(ASS!$W$57=1,$Q$16/(($Q$17*2)-$Q$19),-PMT($Q$18/2,($Q$17*2-B57),O58,0)-P58),0))</f>
        <v>#REF!</v>
      </c>
      <c r="R58" s="132" t="e">
        <f aca="false">O58-Q58</f>
        <v>#REF!</v>
      </c>
      <c r="S58" s="378" t="e">
        <f aca="false">V57</f>
        <v>#REF!</v>
      </c>
      <c r="T58" s="379" t="e">
        <f aca="false">S58*$U$18*0.5</f>
        <v>#REF!</v>
      </c>
      <c r="U58" s="379" t="e">
        <f aca="false">IF($U$19&gt;=B58,0,IF(S58&gt;1,IF(ASS!$W$65=1,$U$16/(($U$17*2)-$U$19),-PMT($U$18/2,($U$17*2-B57),S58,0)-T58),0))</f>
        <v>#REF!</v>
      </c>
      <c r="V58" s="132" t="e">
        <f aca="false">S58-U58</f>
        <v>#REF!</v>
      </c>
      <c r="W58" s="378" t="e">
        <f aca="false">Z57</f>
        <v>#REF!</v>
      </c>
      <c r="X58" s="379" t="e">
        <f aca="false">W58*$Y$18*0.5</f>
        <v>#REF!</v>
      </c>
      <c r="Y58" s="379" t="e">
        <f aca="false">IF($Y$19&gt;=B58,0,IF(W58&gt;1,IF(ASS!$W$73=1,$Y$16/(($Y$17*2)-$Y$19),-PMT($Y$18/2,($Y$17*2-B57),W58,0)-X58),0))</f>
        <v>#REF!</v>
      </c>
      <c r="Z58" s="132" t="e">
        <f aca="false">W58-Y58</f>
        <v>#REF!</v>
      </c>
      <c r="AA58" s="379" t="e">
        <f aca="false">SUM(D57:D58,H57:H58,L57:L58,P57:P58,T57:T58,X57:X58)</f>
        <v>#REF!</v>
      </c>
      <c r="AB58" s="132" t="e">
        <f aca="false">SUM(E57:E58,I57:I58,M57:M58,Q57:Q58,U57:U58,Y57:Y58)</f>
        <v>#REF!</v>
      </c>
    </row>
    <row r="59" customFormat="false" ht="12.75" hidden="false" customHeight="false" outlineLevel="0" collapsed="false">
      <c r="A59" s="29" t="n">
        <f aca="false">A57+1</f>
        <v>2019</v>
      </c>
      <c r="B59" s="34" t="n">
        <f aca="false">B58+1</f>
        <v>36</v>
      </c>
      <c r="C59" s="377" t="e">
        <f aca="false">F58</f>
        <v>#REF!</v>
      </c>
      <c r="D59" s="129" t="e">
        <f aca="false">C59*$E$18*0.5</f>
        <v>#REF!</v>
      </c>
      <c r="E59" s="129" t="e">
        <f aca="false">IF($E$19&gt;=B59,0,IF(C59&gt;1,IF(ASS!$W$33=1,$E$16/(($E$17*2)-$E$19),-PMT($E$18/2,($E$17*2-B58),C59,0)-D59),0))</f>
        <v>#REF!</v>
      </c>
      <c r="F59" s="128" t="e">
        <f aca="false">C59-E59</f>
        <v>#REF!</v>
      </c>
      <c r="G59" s="377" t="e">
        <f aca="false">J58</f>
        <v>#REF!</v>
      </c>
      <c r="H59" s="129" t="e">
        <f aca="false">G59*$I$18*0.5</f>
        <v>#REF!</v>
      </c>
      <c r="I59" s="129" t="e">
        <f aca="false">IF($I$19&gt;=B59,0,IF(G59&gt;1,IF(ASS!$W$41=1,$I$16/(($I$17*2)-$I$19),-PMT($I$18/2,($I$17*2-B58),G59,0)-H59),0))</f>
        <v>#REF!</v>
      </c>
      <c r="J59" s="128" t="e">
        <f aca="false">G59-I59</f>
        <v>#REF!</v>
      </c>
      <c r="K59" s="377" t="e">
        <f aca="false">N58</f>
        <v>#REF!</v>
      </c>
      <c r="L59" s="129" t="e">
        <f aca="false">K59*$M$18*0.5</f>
        <v>#REF!</v>
      </c>
      <c r="M59" s="129" t="e">
        <f aca="false">IF($M$19&gt;=B59,0,IF(K59&gt;1,IF(ASS!$W$49=1,$M$16/(($M$17*2)-$M$19),-PMT($M$18/2,($M$17*2-B58),K59,0)-L59),0))</f>
        <v>#REF!</v>
      </c>
      <c r="N59" s="128" t="e">
        <f aca="false">K59-M59</f>
        <v>#REF!</v>
      </c>
      <c r="O59" s="377" t="e">
        <f aca="false">R58</f>
        <v>#REF!</v>
      </c>
      <c r="P59" s="129" t="e">
        <f aca="false">O59*$Q$18*0.5</f>
        <v>#REF!</v>
      </c>
      <c r="Q59" s="129" t="e">
        <f aca="false">IF($Q$19&gt;=B59,0,IF(O59&gt;1,IF(ASS!$W$57=1,$Q$16/(($Q$17*2)-$Q$19),-PMT($Q$18/2,($Q$17*2-B58),O59,0)-P59),0))</f>
        <v>#REF!</v>
      </c>
      <c r="R59" s="128" t="e">
        <f aca="false">O59-Q59</f>
        <v>#REF!</v>
      </c>
      <c r="S59" s="377" t="e">
        <f aca="false">V58</f>
        <v>#REF!</v>
      </c>
      <c r="T59" s="129" t="e">
        <f aca="false">S59*$U$18*0.5</f>
        <v>#REF!</v>
      </c>
      <c r="U59" s="129" t="e">
        <f aca="false">IF($U$19&gt;=B59,0,IF(S59&gt;1,IF(ASS!$W$65=1,$U$16/(($U$17*2)-$U$19),-PMT($U$18/2,($U$17*2-B58),S59,0)-T59),0))</f>
        <v>#REF!</v>
      </c>
      <c r="V59" s="128" t="e">
        <f aca="false">S59-U59</f>
        <v>#REF!</v>
      </c>
      <c r="W59" s="377" t="e">
        <f aca="false">Z58</f>
        <v>#REF!</v>
      </c>
      <c r="X59" s="129" t="e">
        <f aca="false">W59*$Y$18*0.5</f>
        <v>#REF!</v>
      </c>
      <c r="Y59" s="129" t="e">
        <f aca="false">IF($Y$19&gt;=B59,0,IF(W59&gt;1,IF(ASS!$W$73=1,$Y$16/(($Y$17*2)-$Y$19),-PMT($Y$18/2,($Y$17*2-B58),W59,0)-X59),0))</f>
        <v>#REF!</v>
      </c>
      <c r="Z59" s="128" t="e">
        <f aca="false">W59-Y59</f>
        <v>#REF!</v>
      </c>
      <c r="AA59" s="129"/>
      <c r="AB59" s="128"/>
    </row>
    <row r="60" customFormat="false" ht="12.75" hidden="false" customHeight="false" outlineLevel="0" collapsed="false">
      <c r="A60" s="57" t="n">
        <f aca="false">A59</f>
        <v>2019</v>
      </c>
      <c r="B60" s="68" t="n">
        <f aca="false">B59+1</f>
        <v>37</v>
      </c>
      <c r="C60" s="378" t="e">
        <f aca="false">F59</f>
        <v>#REF!</v>
      </c>
      <c r="D60" s="379" t="e">
        <f aca="false">C60*$E$18*0.5</f>
        <v>#REF!</v>
      </c>
      <c r="E60" s="379" t="e">
        <f aca="false">IF($E$19&gt;=B60,0,IF(C60&gt;1,IF(ASS!$W$33=1,$E$16/(($E$17*2)-$E$19),-PMT($E$18/2,($E$17*2-B59),C60,0)-D60),0))</f>
        <v>#REF!</v>
      </c>
      <c r="F60" s="132" t="e">
        <f aca="false">C60-E60</f>
        <v>#REF!</v>
      </c>
      <c r="G60" s="378" t="e">
        <f aca="false">J59</f>
        <v>#REF!</v>
      </c>
      <c r="H60" s="379" t="e">
        <f aca="false">G60*$I$18*0.5</f>
        <v>#REF!</v>
      </c>
      <c r="I60" s="379" t="e">
        <f aca="false">IF($I$19&gt;=B60,0,IF(G60&gt;1,IF(ASS!$W$41=1,$I$16/(($I$17*2)-$I$19),-PMT($I$18/2,($I$17*2-B59),G60,0)-H60),0))</f>
        <v>#REF!</v>
      </c>
      <c r="J60" s="132" t="e">
        <f aca="false">G60-I60</f>
        <v>#REF!</v>
      </c>
      <c r="K60" s="378" t="e">
        <f aca="false">N59</f>
        <v>#REF!</v>
      </c>
      <c r="L60" s="379" t="e">
        <f aca="false">K60*$M$18*0.5</f>
        <v>#REF!</v>
      </c>
      <c r="M60" s="379" t="e">
        <f aca="false">IF($M$19&gt;=B60,0,IF(K60&gt;1,IF(ASS!$W$49=1,$M$16/(($M$17*2)-$M$19),-PMT($M$18/2,($M$17*2-B59),K60,0)-L60),0))</f>
        <v>#REF!</v>
      </c>
      <c r="N60" s="132" t="e">
        <f aca="false">K60-M60</f>
        <v>#REF!</v>
      </c>
      <c r="O60" s="378" t="e">
        <f aca="false">R59</f>
        <v>#REF!</v>
      </c>
      <c r="P60" s="379" t="e">
        <f aca="false">O60*$Q$18*0.5</f>
        <v>#REF!</v>
      </c>
      <c r="Q60" s="379" t="e">
        <f aca="false">IF($Q$19&gt;=B60,0,IF(O60&gt;1,IF(ASS!$W$57=1,$Q$16/(($Q$17*2)-$Q$19),-PMT($Q$18/2,($Q$17*2-B59),O60,0)-P60),0))</f>
        <v>#REF!</v>
      </c>
      <c r="R60" s="132" t="e">
        <f aca="false">O60-Q60</f>
        <v>#REF!</v>
      </c>
      <c r="S60" s="378" t="e">
        <f aca="false">V59</f>
        <v>#REF!</v>
      </c>
      <c r="T60" s="379" t="e">
        <f aca="false">S60*$U$18*0.5</f>
        <v>#REF!</v>
      </c>
      <c r="U60" s="379" t="e">
        <f aca="false">IF($U$19&gt;=B60,0,IF(S60&gt;1,IF(ASS!$W$65=1,$U$16/(($U$17*2)-$U$19),-PMT($U$18/2,($U$17*2-B59),S60,0)-T60),0))</f>
        <v>#REF!</v>
      </c>
      <c r="V60" s="132" t="e">
        <f aca="false">S60-U60</f>
        <v>#REF!</v>
      </c>
      <c r="W60" s="378" t="e">
        <f aca="false">Z59</f>
        <v>#REF!</v>
      </c>
      <c r="X60" s="379" t="e">
        <f aca="false">W60*$Y$18*0.5</f>
        <v>#REF!</v>
      </c>
      <c r="Y60" s="379" t="e">
        <f aca="false">IF($Y$19&gt;=B60,0,IF(W60&gt;1,IF(ASS!$W$73=1,$Y$16/(($Y$17*2)-$Y$19),-PMT($Y$18/2,($Y$17*2-B59),W60,0)-X60),0))</f>
        <v>#REF!</v>
      </c>
      <c r="Z60" s="132" t="e">
        <f aca="false">W60-Y60</f>
        <v>#REF!</v>
      </c>
      <c r="AA60" s="379" t="e">
        <f aca="false">SUM(D59:D60,H59:H60,L59:L60,P59:P60,T59:T60,X59:X60)</f>
        <v>#REF!</v>
      </c>
      <c r="AB60" s="132" t="e">
        <f aca="false">SUM(E59:E60,I59:I60,M59:M60,Q59:Q60,U59:U60,Y59:Y60)</f>
        <v>#REF!</v>
      </c>
    </row>
    <row r="61" customFormat="false" ht="12.75" hidden="false" customHeight="false" outlineLevel="0" collapsed="false">
      <c r="A61" s="29" t="n">
        <f aca="false">A59+1</f>
        <v>2020</v>
      </c>
      <c r="B61" s="34" t="n">
        <f aca="false">B60+1</f>
        <v>38</v>
      </c>
      <c r="C61" s="377" t="e">
        <f aca="false">F60</f>
        <v>#REF!</v>
      </c>
      <c r="D61" s="129" t="e">
        <f aca="false">C61*$E$18*0.5</f>
        <v>#REF!</v>
      </c>
      <c r="E61" s="129" t="e">
        <f aca="false">IF($E$19&gt;=B61,0,IF(C61&gt;1,IF(ASS!$W$33=1,$E$16/(($E$17*2)-$E$19),-PMT($E$18/2,($E$17*2-B60),C61,0)-D61),0))</f>
        <v>#REF!</v>
      </c>
      <c r="F61" s="128" t="e">
        <f aca="false">C61-E61</f>
        <v>#REF!</v>
      </c>
      <c r="G61" s="377" t="e">
        <f aca="false">J60</f>
        <v>#REF!</v>
      </c>
      <c r="H61" s="129" t="e">
        <f aca="false">G61*$I$18*0.5</f>
        <v>#REF!</v>
      </c>
      <c r="I61" s="129" t="e">
        <f aca="false">IF($I$19&gt;=B61,0,IF(G61&gt;1,IF(ASS!$W$41=1,$I$16/(($I$17*2)-$I$19),-PMT($I$18/2,($I$17*2-B60),G61,0)-H61),0))</f>
        <v>#REF!</v>
      </c>
      <c r="J61" s="128" t="e">
        <f aca="false">G61-I61</f>
        <v>#REF!</v>
      </c>
      <c r="K61" s="377" t="e">
        <f aca="false">N60</f>
        <v>#REF!</v>
      </c>
      <c r="L61" s="129" t="e">
        <f aca="false">K61*$M$18*0.5</f>
        <v>#REF!</v>
      </c>
      <c r="M61" s="129" t="e">
        <f aca="false">IF($M$19&gt;=B61,0,IF(K61&gt;1,IF(ASS!$W$49=1,$M$16/(($M$17*2)-$M$19),-PMT($M$18/2,($M$17*2-B60),K61,0)-L61),0))</f>
        <v>#REF!</v>
      </c>
      <c r="N61" s="128" t="e">
        <f aca="false">K61-M61</f>
        <v>#REF!</v>
      </c>
      <c r="O61" s="377" t="e">
        <f aca="false">R60</f>
        <v>#REF!</v>
      </c>
      <c r="P61" s="129" t="e">
        <f aca="false">O61*$Q$18*0.5</f>
        <v>#REF!</v>
      </c>
      <c r="Q61" s="129" t="e">
        <f aca="false">IF($Q$19&gt;=B61,0,IF(O61&gt;1,IF(ASS!$W$57=1,$Q$16/(($Q$17*2)-$Q$19),-PMT($Q$18/2,($Q$17*2-B60),O61,0)-P61),0))</f>
        <v>#REF!</v>
      </c>
      <c r="R61" s="128" t="e">
        <f aca="false">O61-Q61</f>
        <v>#REF!</v>
      </c>
      <c r="S61" s="377" t="e">
        <f aca="false">V60</f>
        <v>#REF!</v>
      </c>
      <c r="T61" s="129" t="e">
        <f aca="false">S61*$U$18*0.5</f>
        <v>#REF!</v>
      </c>
      <c r="U61" s="129" t="e">
        <f aca="false">IF($U$19&gt;=B61,0,IF(S61&gt;1,IF(ASS!$W$65=1,$U$16/(($U$17*2)-$U$19),-PMT($U$18/2,($U$17*2-B60),S61,0)-T61),0))</f>
        <v>#REF!</v>
      </c>
      <c r="V61" s="128" t="e">
        <f aca="false">S61-U61</f>
        <v>#REF!</v>
      </c>
      <c r="W61" s="377" t="e">
        <f aca="false">Z60</f>
        <v>#REF!</v>
      </c>
      <c r="X61" s="129" t="e">
        <f aca="false">W61*$Y$18*0.5</f>
        <v>#REF!</v>
      </c>
      <c r="Y61" s="129" t="e">
        <f aca="false">IF($Y$19&gt;=B61,0,IF(W61&gt;1,IF(ASS!$W$73=1,$Y$16/(($Y$17*2)-$Y$19),-PMT($Y$18/2,($Y$17*2-B60),W61,0)-X61),0))</f>
        <v>#REF!</v>
      </c>
      <c r="Z61" s="128" t="e">
        <f aca="false">W61-Y61</f>
        <v>#REF!</v>
      </c>
      <c r="AA61" s="129"/>
      <c r="AB61" s="128"/>
    </row>
    <row r="62" customFormat="false" ht="13.5" hidden="false" customHeight="false" outlineLevel="0" collapsed="false">
      <c r="A62" s="57" t="n">
        <f aca="false">A61</f>
        <v>2020</v>
      </c>
      <c r="B62" s="68" t="n">
        <f aca="false">B61+1</f>
        <v>39</v>
      </c>
      <c r="C62" s="378" t="e">
        <f aca="false">F61</f>
        <v>#REF!</v>
      </c>
      <c r="D62" s="379" t="e">
        <f aca="false">C62*$E$18*0.5</f>
        <v>#REF!</v>
      </c>
      <c r="E62" s="379" t="e">
        <f aca="false">IF($E$19&gt;=B62,0,IF(C62&gt;1,IF(ASS!$W$33=1,$E$16/(($E$17*2)-$E$19),-PMT($E$18/2,($E$17*2-B61),C62,0)-D62),0))</f>
        <v>#REF!</v>
      </c>
      <c r="F62" s="132" t="e">
        <f aca="false">C62-E62</f>
        <v>#REF!</v>
      </c>
      <c r="G62" s="378" t="e">
        <f aca="false">J61</f>
        <v>#REF!</v>
      </c>
      <c r="H62" s="379" t="e">
        <f aca="false">G62*$I$18*0.5</f>
        <v>#REF!</v>
      </c>
      <c r="I62" s="379" t="e">
        <f aca="false">IF($I$19&gt;=B62,0,IF(G62&gt;1,IF(ASS!$W$41=1,$I$16/(($I$17*2)-$I$19),-PMT($I$18/2,($I$17*2-B61),G62,0)-H62),0))</f>
        <v>#REF!</v>
      </c>
      <c r="J62" s="132" t="e">
        <f aca="false">G62-I62</f>
        <v>#REF!</v>
      </c>
      <c r="K62" s="378" t="e">
        <f aca="false">N61</f>
        <v>#REF!</v>
      </c>
      <c r="L62" s="379" t="e">
        <f aca="false">K62*$M$18*0.5</f>
        <v>#REF!</v>
      </c>
      <c r="M62" s="379" t="e">
        <f aca="false">IF($M$19&gt;=B62,0,IF(K62&gt;1,IF(ASS!$W$49=1,$M$16/(($M$17*2)-$M$19),-PMT($M$18/2,($M$17*2-B61),K62,0)-L62),0))</f>
        <v>#REF!</v>
      </c>
      <c r="N62" s="132" t="e">
        <f aca="false">K62-M62</f>
        <v>#REF!</v>
      </c>
      <c r="O62" s="378" t="e">
        <f aca="false">R61</f>
        <v>#REF!</v>
      </c>
      <c r="P62" s="379" t="e">
        <f aca="false">O62*$Q$18*0.5</f>
        <v>#REF!</v>
      </c>
      <c r="Q62" s="379" t="e">
        <f aca="false">IF($Q$19&gt;=B62,0,IF(O62&gt;1,IF(ASS!$W$57=1,$Q$16/(($Q$17*2)-$Q$19),-PMT($Q$18/2,($Q$17*2-B61),O62,0)-P62),0))</f>
        <v>#REF!</v>
      </c>
      <c r="R62" s="132" t="e">
        <f aca="false">O62-Q62</f>
        <v>#REF!</v>
      </c>
      <c r="S62" s="378" t="e">
        <f aca="false">V61</f>
        <v>#REF!</v>
      </c>
      <c r="T62" s="379" t="e">
        <f aca="false">S62*$U$18*0.5</f>
        <v>#REF!</v>
      </c>
      <c r="U62" s="379" t="e">
        <f aca="false">IF($U$19&gt;=B62,0,IF(S62&gt;1,IF(ASS!$W$65=1,$U$16/(($U$17*2)-$U$19),-PMT($U$18/2,($U$17*2-B61),S62,0)-T62),0))</f>
        <v>#REF!</v>
      </c>
      <c r="V62" s="132" t="e">
        <f aca="false">S62-U62</f>
        <v>#REF!</v>
      </c>
      <c r="W62" s="378" t="e">
        <f aca="false">Z61</f>
        <v>#REF!</v>
      </c>
      <c r="X62" s="379" t="e">
        <f aca="false">W62*$Y$18*0.5</f>
        <v>#REF!</v>
      </c>
      <c r="Y62" s="379" t="e">
        <f aca="false">IF($Y$19&gt;=B62,0,IF(W62&gt;1,IF(ASS!$W$73=1,$Y$16/(($Y$17*2)-$Y$19),-PMT($Y$18/2,($Y$17*2-B61),W62,0)-X62),0))</f>
        <v>#REF!</v>
      </c>
      <c r="Z62" s="132" t="e">
        <f aca="false">W62-Y62</f>
        <v>#REF!</v>
      </c>
      <c r="AA62" s="379" t="e">
        <f aca="false">SUM(D61:D62,H61:H62,L61:L62,P61:P62,T61:T62,X61:X62)</f>
        <v>#REF!</v>
      </c>
      <c r="AB62" s="132" t="e">
        <f aca="false">SUM(E61:E62,I61:I62,M61:M62,Q61:Q62,U61:U62,Y61:Y62)</f>
        <v>#REF!</v>
      </c>
    </row>
    <row r="63" customFormat="false" ht="14.25" hidden="false" customHeight="false" outlineLevel="0" collapsed="false">
      <c r="A63" s="381" t="s">
        <v>347</v>
      </c>
      <c r="B63" s="381"/>
      <c r="C63" s="337"/>
      <c r="D63" s="382" t="e">
        <f aca="false">SUM(D23:D62)</f>
        <v>#REF!</v>
      </c>
      <c r="E63" s="382" t="e">
        <f aca="false">SUM(E23:E62)</f>
        <v>#REF!</v>
      </c>
      <c r="F63" s="337"/>
      <c r="G63" s="337"/>
      <c r="H63" s="382" t="e">
        <f aca="false">SUM(H23:H62)</f>
        <v>#REF!</v>
      </c>
      <c r="I63" s="382" t="e">
        <f aca="false">SUM(I23:I62)</f>
        <v>#REF!</v>
      </c>
      <c r="J63" s="337"/>
      <c r="K63" s="337"/>
      <c r="L63" s="382" t="e">
        <f aca="false">SUM(L23:L62)</f>
        <v>#REF!</v>
      </c>
      <c r="M63" s="382" t="e">
        <f aca="false">SUM(M23:M62)</f>
        <v>#REF!</v>
      </c>
      <c r="N63" s="337"/>
      <c r="O63" s="337"/>
      <c r="P63" s="382" t="e">
        <f aca="false">SUM(P23:P62)</f>
        <v>#REF!</v>
      </c>
      <c r="Q63" s="382" t="e">
        <f aca="false">SUM(Q23:Q62)</f>
        <v>#REF!</v>
      </c>
      <c r="R63" s="337"/>
      <c r="S63" s="337"/>
      <c r="T63" s="382" t="e">
        <f aca="false">SUM(T23:T62)</f>
        <v>#REF!</v>
      </c>
      <c r="U63" s="382" t="e">
        <f aca="false">SUM(U23:U62)</f>
        <v>#REF!</v>
      </c>
      <c r="V63" s="337"/>
      <c r="W63" s="337"/>
      <c r="X63" s="382" t="e">
        <f aca="false">SUM(X23:X62)</f>
        <v>#REF!</v>
      </c>
      <c r="Y63" s="382" t="e">
        <f aca="false">SUM(Y23:Y62)</f>
        <v>#REF!</v>
      </c>
      <c r="Z63" s="337"/>
      <c r="AA63" s="382" t="e">
        <f aca="false">SUM(AA23:AA62)</f>
        <v>#REF!</v>
      </c>
      <c r="AB63" s="383" t="e">
        <f aca="false">SUM(AB23:AB62)</f>
        <v>#REF!</v>
      </c>
    </row>
    <row r="64" customFormat="false" ht="13.5" hidden="false" customHeight="false" outlineLevel="0" collapsed="false"/>
  </sheetData>
  <mergeCells count="7">
    <mergeCell ref="C15:F15"/>
    <mergeCell ref="G15:J15"/>
    <mergeCell ref="K15:N15"/>
    <mergeCell ref="O15:R15"/>
    <mergeCell ref="S15:V15"/>
    <mergeCell ref="W15:Z15"/>
    <mergeCell ref="A63:B63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12.99"/>
    <col collapsed="false" customWidth="true" hidden="false" outlineLevel="0" max="3" min="3" style="1" width="13.7"/>
    <col collapsed="false" customWidth="true" hidden="false" outlineLevel="0" max="25" min="4" style="1" width="11.7"/>
    <col collapsed="false" customWidth="false" hidden="false" outlineLevel="0" max="257" min="26" style="1" width="9.14"/>
  </cols>
  <sheetData>
    <row r="1" customFormat="false" ht="15.75" hidden="false" customHeight="false" outlineLevel="0" collapsed="false">
      <c r="A1" s="2" t="s">
        <v>348</v>
      </c>
      <c r="B1" s="384"/>
      <c r="C1" s="385"/>
      <c r="D1" s="386"/>
    </row>
    <row r="2" customFormat="false" ht="15.75" hidden="false" customHeight="false" outlineLevel="0" collapsed="false">
      <c r="A2" s="188" t="n">
        <f aca="false">ASS!A4</f>
        <v>0</v>
      </c>
      <c r="B2" s="386"/>
      <c r="C2" s="387"/>
      <c r="D2" s="386"/>
    </row>
    <row r="3" customFormat="false" ht="15.75" hidden="false" customHeight="false" outlineLevel="0" collapsed="false">
      <c r="A3" s="189" t="str">
        <f aca="false">ASS!A5</f>
        <v>BASE MODEL</v>
      </c>
      <c r="B3" s="388"/>
      <c r="C3" s="389"/>
      <c r="D3" s="386"/>
    </row>
    <row r="4" customFormat="false" ht="12.75" hidden="false" customHeight="false" outlineLevel="0" collapsed="false">
      <c r="A4" s="0"/>
      <c r="B4" s="0"/>
      <c r="C4" s="0"/>
      <c r="D4" s="0"/>
    </row>
    <row r="5" customFormat="false" ht="12.75" hidden="false" customHeight="false" outlineLevel="0" collapsed="false">
      <c r="A5" s="18" t="s">
        <v>203</v>
      </c>
      <c r="B5" s="15"/>
      <c r="C5" s="15"/>
      <c r="D5" s="15" t="n">
        <f aca="false">CF!D5</f>
        <v>1</v>
      </c>
      <c r="E5" s="15" t="n">
        <f aca="false">CF!E5</f>
        <v>2</v>
      </c>
      <c r="F5" s="15" t="n">
        <f aca="false">CF!F5</f>
        <v>3</v>
      </c>
      <c r="G5" s="15" t="n">
        <f aca="false">CF!G5</f>
        <v>4</v>
      </c>
      <c r="H5" s="15" t="n">
        <f aca="false">CF!H5</f>
        <v>5</v>
      </c>
      <c r="I5" s="15" t="n">
        <f aca="false">CF!I5</f>
        <v>6</v>
      </c>
      <c r="J5" s="15" t="n">
        <f aca="false">CF!J5</f>
        <v>7</v>
      </c>
      <c r="K5" s="15" t="n">
        <f aca="false">CF!K5</f>
        <v>8</v>
      </c>
      <c r="L5" s="15" t="n">
        <f aca="false">CF!L5</f>
        <v>9</v>
      </c>
      <c r="M5" s="15" t="n">
        <f aca="false">CF!M5</f>
        <v>10</v>
      </c>
      <c r="N5" s="15" t="n">
        <f aca="false">CF!N5</f>
        <v>11</v>
      </c>
      <c r="O5" s="15" t="n">
        <f aca="false">CF!O5</f>
        <v>12</v>
      </c>
      <c r="P5" s="15" t="n">
        <f aca="false">CF!P5</f>
        <v>13</v>
      </c>
      <c r="Q5" s="15" t="n">
        <f aca="false">CF!Q5</f>
        <v>14</v>
      </c>
      <c r="R5" s="15" t="n">
        <f aca="false">CF!R5</f>
        <v>15</v>
      </c>
      <c r="S5" s="15" t="n">
        <f aca="false">CF!S5</f>
        <v>16</v>
      </c>
      <c r="T5" s="15" t="n">
        <f aca="false">CF!T5</f>
        <v>17</v>
      </c>
      <c r="U5" s="15" t="n">
        <f aca="false">CF!U5</f>
        <v>18</v>
      </c>
      <c r="V5" s="15" t="n">
        <f aca="false">CF!V5</f>
        <v>19</v>
      </c>
      <c r="W5" s="15" t="n">
        <f aca="false">CF!W5</f>
        <v>20</v>
      </c>
      <c r="X5" s="15" t="n">
        <f aca="false">CF!X5</f>
        <v>21</v>
      </c>
      <c r="Y5" s="15" t="n">
        <f aca="false">CF!Y5</f>
        <v>22</v>
      </c>
      <c r="Z5" s="15" t="n">
        <f aca="false">CF!Z5</f>
        <v>23</v>
      </c>
      <c r="AA5" s="15" t="n">
        <f aca="false">CF!AA5</f>
        <v>24</v>
      </c>
      <c r="AB5" s="15" t="n">
        <f aca="false">CF!AB5</f>
        <v>25</v>
      </c>
      <c r="AC5" s="17" t="n">
        <f aca="false">CF!AC5</f>
        <v>26</v>
      </c>
      <c r="AD5" s="194"/>
    </row>
    <row r="6" customFormat="false" ht="12.75" hidden="false" customHeight="false" outlineLevel="0" collapsed="false">
      <c r="A6" s="373" t="s">
        <v>204</v>
      </c>
      <c r="B6" s="30"/>
      <c r="C6" s="30"/>
      <c r="D6" s="390" t="n">
        <f aca="false">CF!D6</f>
        <v>2001</v>
      </c>
      <c r="E6" s="390" t="n">
        <f aca="false">CF!E6</f>
        <v>2002</v>
      </c>
      <c r="F6" s="390" t="n">
        <f aca="false">CF!F6</f>
        <v>2003</v>
      </c>
      <c r="G6" s="390" t="n">
        <f aca="false">CF!G6</f>
        <v>2004</v>
      </c>
      <c r="H6" s="390" t="n">
        <f aca="false">CF!H6</f>
        <v>2005</v>
      </c>
      <c r="I6" s="390" t="n">
        <f aca="false">CF!I6</f>
        <v>2006</v>
      </c>
      <c r="J6" s="390" t="n">
        <f aca="false">CF!J6</f>
        <v>2007</v>
      </c>
      <c r="K6" s="390" t="n">
        <f aca="false">CF!K6</f>
        <v>2008</v>
      </c>
      <c r="L6" s="390" t="n">
        <f aca="false">CF!L6</f>
        <v>2009</v>
      </c>
      <c r="M6" s="390" t="n">
        <f aca="false">CF!M6</f>
        <v>2010</v>
      </c>
      <c r="N6" s="390" t="n">
        <f aca="false">CF!N6</f>
        <v>2011</v>
      </c>
      <c r="O6" s="390" t="n">
        <f aca="false">CF!O6</f>
        <v>2012</v>
      </c>
      <c r="P6" s="390" t="n">
        <f aca="false">CF!P6</f>
        <v>2013</v>
      </c>
      <c r="Q6" s="390" t="n">
        <f aca="false">CF!Q6</f>
        <v>2014</v>
      </c>
      <c r="R6" s="390" t="n">
        <f aca="false">CF!R6</f>
        <v>2015</v>
      </c>
      <c r="S6" s="390" t="n">
        <f aca="false">CF!S6</f>
        <v>2016</v>
      </c>
      <c r="T6" s="390" t="n">
        <f aca="false">CF!T6</f>
        <v>2017</v>
      </c>
      <c r="U6" s="390" t="n">
        <f aca="false">CF!U6</f>
        <v>2018</v>
      </c>
      <c r="V6" s="390" t="n">
        <f aca="false">CF!V6</f>
        <v>2019</v>
      </c>
      <c r="W6" s="390" t="n">
        <f aca="false">CF!W6</f>
        <v>2020</v>
      </c>
      <c r="X6" s="390" t="n">
        <f aca="false">CF!X6</f>
        <v>2021</v>
      </c>
      <c r="Y6" s="390" t="n">
        <f aca="false">CF!Y6</f>
        <v>2022</v>
      </c>
      <c r="Z6" s="390" t="n">
        <f aca="false">CF!Z6</f>
        <v>2023</v>
      </c>
      <c r="AA6" s="390" t="n">
        <f aca="false">CF!AA6</f>
        <v>2024</v>
      </c>
      <c r="AB6" s="390" t="n">
        <f aca="false">CF!AB6</f>
        <v>2025</v>
      </c>
      <c r="AC6" s="391" t="n">
        <f aca="false">CF!AC6</f>
        <v>2026</v>
      </c>
      <c r="AD6" s="200" t="s">
        <v>331</v>
      </c>
    </row>
    <row r="7" customFormat="false" ht="12.75" hidden="false" customHeight="false" outlineLevel="0" collapsed="false">
      <c r="A7" s="57" t="s">
        <v>206</v>
      </c>
      <c r="B7" s="58"/>
      <c r="C7" s="58"/>
      <c r="D7" s="58" t="n">
        <f aca="false">CF!D7</f>
        <v>7</v>
      </c>
      <c r="E7" s="58" t="n">
        <f aca="false">CF!E7</f>
        <v>12</v>
      </c>
      <c r="F7" s="58" t="n">
        <f aca="false">CF!F7</f>
        <v>12</v>
      </c>
      <c r="G7" s="58" t="n">
        <f aca="false">CF!G7</f>
        <v>12</v>
      </c>
      <c r="H7" s="58" t="n">
        <f aca="false">CF!H7</f>
        <v>12</v>
      </c>
      <c r="I7" s="58" t="n">
        <f aca="false">CF!I7</f>
        <v>12</v>
      </c>
      <c r="J7" s="58" t="n">
        <f aca="false">CF!J7</f>
        <v>12</v>
      </c>
      <c r="K7" s="58" t="n">
        <f aca="false">CF!K7</f>
        <v>12</v>
      </c>
      <c r="L7" s="58" t="n">
        <f aca="false">CF!L7</f>
        <v>12</v>
      </c>
      <c r="M7" s="58" t="n">
        <f aca="false">CF!M7</f>
        <v>12</v>
      </c>
      <c r="N7" s="58" t="n">
        <f aca="false">CF!N7</f>
        <v>12</v>
      </c>
      <c r="O7" s="58" t="n">
        <f aca="false">CF!O7</f>
        <v>12</v>
      </c>
      <c r="P7" s="58" t="n">
        <f aca="false">CF!P7</f>
        <v>12</v>
      </c>
      <c r="Q7" s="58" t="n">
        <f aca="false">CF!Q7</f>
        <v>12</v>
      </c>
      <c r="R7" s="58" t="n">
        <f aca="false">CF!R7</f>
        <v>12</v>
      </c>
      <c r="S7" s="58" t="n">
        <f aca="false">CF!S7</f>
        <v>12</v>
      </c>
      <c r="T7" s="58" t="n">
        <f aca="false">CF!T7</f>
        <v>12</v>
      </c>
      <c r="U7" s="58" t="n">
        <f aca="false">CF!U7</f>
        <v>12</v>
      </c>
      <c r="V7" s="58" t="n">
        <f aca="false">CF!V7</f>
        <v>12</v>
      </c>
      <c r="W7" s="58" t="n">
        <f aca="false">CF!W7</f>
        <v>12</v>
      </c>
      <c r="X7" s="58" t="n">
        <f aca="false">CF!X7</f>
        <v>12</v>
      </c>
      <c r="Y7" s="58" t="n">
        <f aca="false">CF!Y7</f>
        <v>12</v>
      </c>
      <c r="Z7" s="58" t="n">
        <f aca="false">CF!Z7</f>
        <v>12</v>
      </c>
      <c r="AA7" s="58" t="n">
        <f aca="false">CF!AA7</f>
        <v>12</v>
      </c>
      <c r="AB7" s="58" t="n">
        <f aca="false">CF!AB7</f>
        <v>12</v>
      </c>
      <c r="AC7" s="68" t="n">
        <f aca="false">CF!AC7</f>
        <v>0</v>
      </c>
      <c r="AD7" s="202"/>
    </row>
    <row r="8" customFormat="false" ht="12.75" hidden="false" customHeight="false" outlineLevel="0" collapsed="false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customFormat="false" ht="12.75" hidden="false" customHeight="false" outlineLevel="0" collapsed="false">
      <c r="A9" s="367" t="s">
        <v>349</v>
      </c>
      <c r="B9" s="392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94"/>
    </row>
    <row r="10" customFormat="false" ht="12.75" hidden="false" customHeight="false" outlineLevel="0" collapsed="false">
      <c r="A10" s="29" t="s">
        <v>350</v>
      </c>
      <c r="B10" s="30"/>
      <c r="C10" s="30"/>
      <c r="D10" s="212" t="n">
        <f aca="false">CF!D76</f>
        <v>0</v>
      </c>
      <c r="E10" s="212" t="n">
        <f aca="false">CF!E76</f>
        <v>0</v>
      </c>
      <c r="F10" s="212" t="n">
        <f aca="false">CF!F76</f>
        <v>0</v>
      </c>
      <c r="G10" s="212" t="n">
        <f aca="false">CF!G76</f>
        <v>0</v>
      </c>
      <c r="H10" s="212" t="n">
        <f aca="false">CF!H76</f>
        <v>0</v>
      </c>
      <c r="I10" s="212" t="n">
        <f aca="false">CF!I76</f>
        <v>0</v>
      </c>
      <c r="J10" s="212" t="n">
        <f aca="false">CF!J76</f>
        <v>0</v>
      </c>
      <c r="K10" s="212" t="n">
        <f aca="false">CF!K76</f>
        <v>0</v>
      </c>
      <c r="L10" s="212" t="n">
        <f aca="false">CF!L76</f>
        <v>0</v>
      </c>
      <c r="M10" s="212" t="n">
        <f aca="false">CF!M76</f>
        <v>0</v>
      </c>
      <c r="N10" s="212" t="n">
        <f aca="false">CF!N76</f>
        <v>0</v>
      </c>
      <c r="O10" s="212" t="n">
        <f aca="false">CF!O76</f>
        <v>0</v>
      </c>
      <c r="P10" s="212" t="n">
        <f aca="false">CF!P76</f>
        <v>0</v>
      </c>
      <c r="Q10" s="212" t="n">
        <f aca="false">CF!Q76</f>
        <v>0</v>
      </c>
      <c r="R10" s="212" t="n">
        <f aca="false">CF!R76</f>
        <v>0</v>
      </c>
      <c r="S10" s="212" t="e">
        <f aca="false">CF!S76</f>
        <v>#VALUE!</v>
      </c>
      <c r="T10" s="212" t="n">
        <f aca="false">CF!T76</f>
        <v>0</v>
      </c>
      <c r="U10" s="212" t="n">
        <f aca="false">CF!U76</f>
        <v>0</v>
      </c>
      <c r="V10" s="212" t="n">
        <f aca="false">CF!V76</f>
        <v>0</v>
      </c>
      <c r="W10" s="212" t="n">
        <f aca="false">CF!W76</f>
        <v>0</v>
      </c>
      <c r="X10" s="212" t="n">
        <f aca="false">CF!X76</f>
        <v>0</v>
      </c>
      <c r="Y10" s="212" t="n">
        <f aca="false">CF!Y76</f>
        <v>0</v>
      </c>
      <c r="Z10" s="212" t="n">
        <f aca="false">CF!Z76</f>
        <v>0</v>
      </c>
      <c r="AA10" s="212" t="n">
        <f aca="false">CF!AA76</f>
        <v>0</v>
      </c>
      <c r="AB10" s="212" t="n">
        <f aca="false">CF!AB76</f>
        <v>0</v>
      </c>
      <c r="AC10" s="212" t="n">
        <f aca="false">CF!AC76</f>
        <v>0</v>
      </c>
      <c r="AD10" s="213" t="e">
        <f aca="false">SUM(D10:AC10)</f>
        <v>#VALUE!</v>
      </c>
      <c r="AE10" s="393" t="e">
        <f aca="false">IF(ABS($AD$10-CF!$AD$76)&lt;0.01," ","CHECK:  DOES NOT EQUAL EBDIT ON CF PAGE")</f>
        <v>#VALUE!</v>
      </c>
    </row>
    <row r="11" customFormat="false" ht="12.75" hidden="false" customHeight="false" outlineLevel="0" collapsed="false">
      <c r="A11" s="29" t="s">
        <v>351</v>
      </c>
      <c r="B11" s="30"/>
      <c r="C11" s="30"/>
      <c r="D11" s="212" t="n">
        <f aca="false">-DEPR!F21</f>
        <v>-284.375</v>
      </c>
      <c r="E11" s="212" t="n">
        <f aca="false">-DEPR!G21</f>
        <v>-750.565833333333</v>
      </c>
      <c r="F11" s="212" t="n">
        <f aca="false">-DEPR!H21</f>
        <v>-896.61</v>
      </c>
      <c r="G11" s="212" t="n">
        <f aca="false">-DEPR!I21</f>
        <v>-829.551666666667</v>
      </c>
      <c r="H11" s="212" t="n">
        <f aca="false">-DEPR!J21</f>
        <v>-767.823333333333</v>
      </c>
      <c r="I11" s="212" t="n">
        <f aca="false">-DEPR!K21</f>
        <v>-710.233333333334</v>
      </c>
      <c r="J11" s="212" t="n">
        <f aca="false">-DEPR!L21</f>
        <v>-656.944166666667</v>
      </c>
      <c r="K11" s="212" t="n">
        <f aca="false">-DEPR!M21</f>
        <v>-607.685</v>
      </c>
      <c r="L11" s="212" t="n">
        <f aca="false">-DEPR!N21</f>
        <v>-583.31</v>
      </c>
      <c r="M11" s="212" t="n">
        <f aca="false">-DEPR!O21</f>
        <v>-579.984166666667</v>
      </c>
      <c r="N11" s="212" t="n">
        <f aca="false">-DEPR!P21</f>
        <v>-580.005833333333</v>
      </c>
      <c r="O11" s="212" t="n">
        <f aca="false">-DEPR!Q21</f>
        <v>-579.984166666667</v>
      </c>
      <c r="P11" s="212" t="n">
        <f aca="false">-DEPR!R21</f>
        <v>-580.005833333333</v>
      </c>
      <c r="Q11" s="212" t="n">
        <f aca="false">-DEPR!S21</f>
        <v>-579.984166666667</v>
      </c>
      <c r="R11" s="212" t="n">
        <f aca="false">-DEPR!T21</f>
        <v>-580.005833333333</v>
      </c>
      <c r="S11" s="212" t="n">
        <f aca="false">-DEPR!U21</f>
        <v>-579.984166666667</v>
      </c>
      <c r="T11" s="212" t="n">
        <f aca="false">-DEPR!V21</f>
        <v>-580.005833333333</v>
      </c>
      <c r="U11" s="212" t="n">
        <f aca="false">-DEPR!W21</f>
        <v>-579.984166666667</v>
      </c>
      <c r="V11" s="212" t="n">
        <f aca="false">-DEPR!X21</f>
        <v>-580.005833333333</v>
      </c>
      <c r="W11" s="212" t="n">
        <f aca="false">-DEPR!Y21</f>
        <v>-579.984166666667</v>
      </c>
      <c r="X11" s="212" t="n">
        <f aca="false">-DEPR!Z21</f>
        <v>-410.821666666667</v>
      </c>
      <c r="Y11" s="212" t="n">
        <f aca="false">-DEPR!AA21</f>
        <v>-122.145833333334</v>
      </c>
      <c r="Z11" s="212" t="n">
        <f aca="false">-DEPR!AB21</f>
        <v>-0</v>
      </c>
      <c r="AA11" s="212" t="n">
        <f aca="false">-DEPR!AC21</f>
        <v>-0</v>
      </c>
      <c r="AB11" s="212" t="n">
        <f aca="false">-DEPR!AD21</f>
        <v>-0</v>
      </c>
      <c r="AC11" s="212" t="n">
        <f aca="false">-DEPR!AE21</f>
        <v>-0</v>
      </c>
      <c r="AD11" s="213" t="n">
        <f aca="false">SUM(D11:AC11)</f>
        <v>-13000</v>
      </c>
      <c r="AE11" s="393" t="str">
        <f aca="false">IF(ABS(-$AD$11-ASS!$I$19)&lt;0.01," ","CHECK:  DOES NOT MATCH TOTAL TAX DEPRECIABLE BASIS")</f>
        <v> </v>
      </c>
    </row>
    <row r="12" customFormat="false" ht="12.75" hidden="false" customHeight="false" outlineLevel="0" collapsed="false">
      <c r="A12" s="29" t="s">
        <v>352</v>
      </c>
      <c r="B12" s="30"/>
      <c r="C12" s="30"/>
      <c r="D12" s="212" t="e">
        <f aca="false">-FIN!D10</f>
        <v>#REF!</v>
      </c>
      <c r="E12" s="212" t="e">
        <f aca="false">-FIN!E10</f>
        <v>#REF!</v>
      </c>
      <c r="F12" s="212" t="e">
        <f aca="false">-FIN!F10</f>
        <v>#REF!</v>
      </c>
      <c r="G12" s="212" t="e">
        <f aca="false">-FIN!G10</f>
        <v>#REF!</v>
      </c>
      <c r="H12" s="212" t="e">
        <f aca="false">-FIN!H10</f>
        <v>#REF!</v>
      </c>
      <c r="I12" s="212" t="e">
        <f aca="false">-FIN!I10</f>
        <v>#REF!</v>
      </c>
      <c r="J12" s="212" t="e">
        <f aca="false">-FIN!J10</f>
        <v>#REF!</v>
      </c>
      <c r="K12" s="212" t="e">
        <f aca="false">-FIN!K10</f>
        <v>#REF!</v>
      </c>
      <c r="L12" s="212" t="e">
        <f aca="false">-FIN!L10</f>
        <v>#REF!</v>
      </c>
      <c r="M12" s="212" t="e">
        <f aca="false">-FIN!M10</f>
        <v>#REF!</v>
      </c>
      <c r="N12" s="212" t="e">
        <f aca="false">-FIN!N10</f>
        <v>#REF!</v>
      </c>
      <c r="O12" s="212" t="e">
        <f aca="false">-FIN!O10</f>
        <v>#REF!</v>
      </c>
      <c r="P12" s="212" t="e">
        <f aca="false">-FIN!P10</f>
        <v>#REF!</v>
      </c>
      <c r="Q12" s="212" t="e">
        <f aca="false">-FIN!Q10</f>
        <v>#REF!</v>
      </c>
      <c r="R12" s="212" t="e">
        <f aca="false">-FIN!R10</f>
        <v>#REF!</v>
      </c>
      <c r="S12" s="212" t="e">
        <f aca="false">-FIN!S10</f>
        <v>#REF!</v>
      </c>
      <c r="T12" s="212" t="e">
        <f aca="false">-FIN!T10</f>
        <v>#REF!</v>
      </c>
      <c r="U12" s="212" t="e">
        <f aca="false">-FIN!U10</f>
        <v>#REF!</v>
      </c>
      <c r="V12" s="212" t="e">
        <f aca="false">-FIN!V10</f>
        <v>#REF!</v>
      </c>
      <c r="W12" s="212" t="e">
        <f aca="false">-FIN!W10</f>
        <v>#REF!</v>
      </c>
      <c r="X12" s="212" t="e">
        <f aca="false">-FIN!X10</f>
        <v>#REF!</v>
      </c>
      <c r="Y12" s="212" t="e">
        <f aca="false">-FIN!Y10</f>
        <v>#REF!</v>
      </c>
      <c r="Z12" s="212" t="e">
        <f aca="false">-FIN!Z10</f>
        <v>#REF!</v>
      </c>
      <c r="AA12" s="212" t="e">
        <f aca="false">-FIN!AA10</f>
        <v>#REF!</v>
      </c>
      <c r="AB12" s="212" t="e">
        <f aca="false">-FIN!AB10</f>
        <v>#REF!</v>
      </c>
      <c r="AC12" s="212" t="e">
        <f aca="false">-FIN!AC10</f>
        <v>#REF!</v>
      </c>
      <c r="AD12" s="213" t="e">
        <f aca="false">SUM(D12:AC12)</f>
        <v>#REF!</v>
      </c>
      <c r="AE12" s="393" t="e">
        <f aca="false">IF(ABS(-$AD$12-FIN!$AD$10)&lt;0.01," ","CHECK:  DOES NOT EQUAL TOTAL INTEREST PAYMENTS CALCULATED")</f>
        <v>#REF!</v>
      </c>
    </row>
    <row r="13" customFormat="false" ht="12.75" hidden="false" customHeight="false" outlineLevel="0" collapsed="false">
      <c r="A13" s="29" t="s">
        <v>353</v>
      </c>
      <c r="B13" s="30"/>
      <c r="C13" s="30"/>
      <c r="D13" s="215" t="e">
        <f aca="false">CF!D81</f>
        <v>#REF!</v>
      </c>
      <c r="E13" s="215" t="e">
        <f aca="false">CF!E81</f>
        <v>#REF!</v>
      </c>
      <c r="F13" s="215" t="e">
        <f aca="false">CF!F81</f>
        <v>#REF!</v>
      </c>
      <c r="G13" s="215" t="e">
        <f aca="false">CF!G81</f>
        <v>#REF!</v>
      </c>
      <c r="H13" s="215" t="e">
        <f aca="false">CF!H81</f>
        <v>#REF!</v>
      </c>
      <c r="I13" s="215" t="e">
        <f aca="false">CF!I81</f>
        <v>#REF!</v>
      </c>
      <c r="J13" s="215" t="e">
        <f aca="false">CF!J81</f>
        <v>#REF!</v>
      </c>
      <c r="K13" s="215" t="e">
        <f aca="false">CF!K81</f>
        <v>#REF!</v>
      </c>
      <c r="L13" s="215" t="e">
        <f aca="false">CF!L81</f>
        <v>#REF!</v>
      </c>
      <c r="M13" s="215" t="e">
        <f aca="false">CF!M81</f>
        <v>#REF!</v>
      </c>
      <c r="N13" s="215" t="e">
        <f aca="false">CF!N81</f>
        <v>#REF!</v>
      </c>
      <c r="O13" s="215" t="e">
        <f aca="false">CF!O81</f>
        <v>#REF!</v>
      </c>
      <c r="P13" s="215" t="e">
        <f aca="false">CF!P81</f>
        <v>#REF!</v>
      </c>
      <c r="Q13" s="215" t="e">
        <f aca="false">CF!Q81</f>
        <v>#REF!</v>
      </c>
      <c r="R13" s="215" t="e">
        <f aca="false">CF!R81</f>
        <v>#REF!</v>
      </c>
      <c r="S13" s="215" t="e">
        <f aca="false">CF!S81</f>
        <v>#REF!</v>
      </c>
      <c r="T13" s="215" t="e">
        <f aca="false">CF!T81</f>
        <v>#REF!</v>
      </c>
      <c r="U13" s="215" t="e">
        <f aca="false">CF!U81</f>
        <v>#REF!</v>
      </c>
      <c r="V13" s="215" t="e">
        <f aca="false">CF!V81</f>
        <v>#REF!</v>
      </c>
      <c r="W13" s="215" t="e">
        <f aca="false">CF!W81</f>
        <v>#REF!</v>
      </c>
      <c r="X13" s="215" t="e">
        <f aca="false">CF!X81</f>
        <v>#REF!</v>
      </c>
      <c r="Y13" s="215" t="e">
        <f aca="false">CF!Y81</f>
        <v>#REF!</v>
      </c>
      <c r="Z13" s="215" t="e">
        <f aca="false">CF!Z81</f>
        <v>#REF!</v>
      </c>
      <c r="AA13" s="215" t="e">
        <f aca="false">CF!AA81</f>
        <v>#REF!</v>
      </c>
      <c r="AB13" s="215" t="e">
        <f aca="false">CF!AB81</f>
        <v>#REF!</v>
      </c>
      <c r="AC13" s="215" t="e">
        <f aca="false">CF!AC81</f>
        <v>#REF!</v>
      </c>
      <c r="AD13" s="216" t="e">
        <f aca="false">SUM(D13:AC13)</f>
        <v>#REF!</v>
      </c>
      <c r="AE13" s="393" t="e">
        <f aca="false">IF(ABS($AD$13-CF!$AD$81)&lt;0.01," ","CHECK:  DOES NOT EQUAL WITHHOLDING PMTS CALCD ON CF PAGE")</f>
        <v>#REF!</v>
      </c>
    </row>
    <row r="14" customFormat="false" ht="12.75" hidden="false" customHeight="false" outlineLevel="0" collapsed="false">
      <c r="A14" s="29" t="s">
        <v>354</v>
      </c>
      <c r="B14" s="30"/>
      <c r="C14" s="30"/>
      <c r="D14" s="279" t="e">
        <f aca="false">SUM(D10:D13)</f>
        <v>#REF!</v>
      </c>
      <c r="E14" s="279" t="e">
        <f aca="false">SUM(E10:E13)</f>
        <v>#REF!</v>
      </c>
      <c r="F14" s="279" t="e">
        <f aca="false">SUM(F10:F13)</f>
        <v>#REF!</v>
      </c>
      <c r="G14" s="279" t="e">
        <f aca="false">SUM(G10:G13)</f>
        <v>#REF!</v>
      </c>
      <c r="H14" s="279" t="e">
        <f aca="false">SUM(H10:H13)</f>
        <v>#REF!</v>
      </c>
      <c r="I14" s="279" t="e">
        <f aca="false">SUM(I10:I13)</f>
        <v>#REF!</v>
      </c>
      <c r="J14" s="279" t="e">
        <f aca="false">SUM(J10:J13)</f>
        <v>#REF!</v>
      </c>
      <c r="K14" s="279" t="e">
        <f aca="false">SUM(K10:K13)</f>
        <v>#REF!</v>
      </c>
      <c r="L14" s="279" t="e">
        <f aca="false">SUM(L10:L13)</f>
        <v>#REF!</v>
      </c>
      <c r="M14" s="279" t="e">
        <f aca="false">SUM(M10:M13)</f>
        <v>#REF!</v>
      </c>
      <c r="N14" s="279" t="e">
        <f aca="false">SUM(N10:N13)</f>
        <v>#REF!</v>
      </c>
      <c r="O14" s="279" t="e">
        <f aca="false">SUM(O10:O13)</f>
        <v>#REF!</v>
      </c>
      <c r="P14" s="279" t="e">
        <f aca="false">SUM(P10:P13)</f>
        <v>#REF!</v>
      </c>
      <c r="Q14" s="279" t="e">
        <f aca="false">SUM(Q10:Q13)</f>
        <v>#REF!</v>
      </c>
      <c r="R14" s="279" t="e">
        <f aca="false">SUM(R10:R13)</f>
        <v>#REF!</v>
      </c>
      <c r="S14" s="279" t="e">
        <f aca="false">SUM(S10:S13)</f>
        <v>#VALUE!</v>
      </c>
      <c r="T14" s="279" t="e">
        <f aca="false">SUM(T10:T13)</f>
        <v>#REF!</v>
      </c>
      <c r="U14" s="279" t="e">
        <f aca="false">SUM(U10:U13)</f>
        <v>#REF!</v>
      </c>
      <c r="V14" s="279" t="e">
        <f aca="false">SUM(V10:V13)</f>
        <v>#REF!</v>
      </c>
      <c r="W14" s="279" t="e">
        <f aca="false">SUM(W10:W13)</f>
        <v>#REF!</v>
      </c>
      <c r="X14" s="279" t="e">
        <f aca="false">SUM(X10:X13)</f>
        <v>#REF!</v>
      </c>
      <c r="Y14" s="279" t="e">
        <f aca="false">SUM(Y10:Y13)</f>
        <v>#REF!</v>
      </c>
      <c r="Z14" s="279" t="e">
        <f aca="false">SUM(Z10:Z13)</f>
        <v>#REF!</v>
      </c>
      <c r="AA14" s="279" t="e">
        <f aca="false">SUM(AA10:AA13)</f>
        <v>#REF!</v>
      </c>
      <c r="AB14" s="279" t="e">
        <f aca="false">SUM(AB10:AB13)</f>
        <v>#REF!</v>
      </c>
      <c r="AC14" s="279" t="e">
        <f aca="false">SUM(AC10:AC13)</f>
        <v>#REF!</v>
      </c>
      <c r="AD14" s="281" t="e">
        <f aca="false">SUM(D14:AC14)</f>
        <v>#REF!</v>
      </c>
    </row>
    <row r="15" customFormat="false" ht="12.75" hidden="false" customHeight="false" outlineLevel="0" collapsed="false">
      <c r="A15" s="29" t="s">
        <v>355</v>
      </c>
      <c r="B15" s="30"/>
      <c r="C15" s="30"/>
      <c r="D15" s="72" t="str">
        <f aca="false">TAX</f>
        <v>5% or 3%-5%</v>
      </c>
      <c r="E15" s="72" t="str">
        <f aca="false">TAX</f>
        <v>5% or 3%-5%</v>
      </c>
      <c r="F15" s="72" t="str">
        <f aca="false">TAX</f>
        <v>5% or 3%-5%</v>
      </c>
      <c r="G15" s="72" t="str">
        <f aca="false">TAX</f>
        <v>5% or 3%-5%</v>
      </c>
      <c r="H15" s="72" t="str">
        <f aca="false">TAX</f>
        <v>5% or 3%-5%</v>
      </c>
      <c r="I15" s="72" t="str">
        <f aca="false">TAX</f>
        <v>5% or 3%-5%</v>
      </c>
      <c r="J15" s="72" t="str">
        <f aca="false">TAX</f>
        <v>5% or 3%-5%</v>
      </c>
      <c r="K15" s="72" t="str">
        <f aca="false">TAX</f>
        <v>5% or 3%-5%</v>
      </c>
      <c r="L15" s="72" t="str">
        <f aca="false">TAX</f>
        <v>5% or 3%-5%</v>
      </c>
      <c r="M15" s="72" t="str">
        <f aca="false">TAX</f>
        <v>5% or 3%-5%</v>
      </c>
      <c r="N15" s="72" t="str">
        <f aca="false">TAX</f>
        <v>5% or 3%-5%</v>
      </c>
      <c r="O15" s="72" t="str">
        <f aca="false">TAX</f>
        <v>5% or 3%-5%</v>
      </c>
      <c r="P15" s="72" t="str">
        <f aca="false">TAX</f>
        <v>5% or 3%-5%</v>
      </c>
      <c r="Q15" s="72" t="str">
        <f aca="false">TAX</f>
        <v>5% or 3%-5%</v>
      </c>
      <c r="R15" s="72" t="str">
        <f aca="false">TAX</f>
        <v>5% or 3%-5%</v>
      </c>
      <c r="S15" s="72" t="str">
        <f aca="false">TAX</f>
        <v>5% or 3%-5%</v>
      </c>
      <c r="T15" s="72" t="str">
        <f aca="false">TAX</f>
        <v>5% or 3%-5%</v>
      </c>
      <c r="U15" s="72" t="str">
        <f aca="false">TAX</f>
        <v>5% or 3%-5%</v>
      </c>
      <c r="V15" s="72" t="str">
        <f aca="false">TAX</f>
        <v>5% or 3%-5%</v>
      </c>
      <c r="W15" s="72" t="str">
        <f aca="false">TAX</f>
        <v>5% or 3%-5%</v>
      </c>
      <c r="X15" s="72" t="str">
        <f aca="false">TAX</f>
        <v>5% or 3%-5%</v>
      </c>
      <c r="Y15" s="72" t="str">
        <f aca="false">TAX</f>
        <v>5% or 3%-5%</v>
      </c>
      <c r="Z15" s="72" t="str">
        <f aca="false">TAX</f>
        <v>5% or 3%-5%</v>
      </c>
      <c r="AA15" s="72" t="str">
        <f aca="false">TAX</f>
        <v>5% or 3%-5%</v>
      </c>
      <c r="AB15" s="72" t="str">
        <f aca="false">TAX</f>
        <v>5% or 3%-5%</v>
      </c>
      <c r="AC15" s="72" t="str">
        <f aca="false">TAX</f>
        <v>5% or 3%-5%</v>
      </c>
      <c r="AD15" s="207"/>
    </row>
    <row r="16" customFormat="false" ht="12.75" hidden="false" customHeight="false" outlineLevel="0" collapsed="false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207"/>
    </row>
    <row r="17" customFormat="false" ht="12.75" hidden="false" customHeight="false" outlineLevel="0" collapsed="false">
      <c r="A17" s="273" t="s">
        <v>356</v>
      </c>
      <c r="B17" s="394"/>
      <c r="C17" s="58"/>
      <c r="D17" s="395" t="e">
        <f aca="false">IF(D14&lt;0,0,D14*D15)</f>
        <v>#REF!</v>
      </c>
      <c r="E17" s="395" t="e">
        <f aca="false">IF(E14&lt;0,0,E14*E15)</f>
        <v>#REF!</v>
      </c>
      <c r="F17" s="395" t="e">
        <f aca="false">IF(F14&lt;0,0,F14*F15)</f>
        <v>#REF!</v>
      </c>
      <c r="G17" s="395" t="e">
        <f aca="false">IF(G14&lt;0,0,G14*G15)</f>
        <v>#REF!</v>
      </c>
      <c r="H17" s="395" t="e">
        <f aca="false">IF(H14&lt;0,0,H14*H15)</f>
        <v>#REF!</v>
      </c>
      <c r="I17" s="395" t="e">
        <f aca="false">IF(I14&lt;0,0,I14*I15)</f>
        <v>#REF!</v>
      </c>
      <c r="J17" s="395" t="e">
        <f aca="false">IF(J14&lt;0,0,J14*J15)</f>
        <v>#REF!</v>
      </c>
      <c r="K17" s="395" t="e">
        <f aca="false">IF(K14&lt;0,0,K14*K15)</f>
        <v>#REF!</v>
      </c>
      <c r="L17" s="395" t="e">
        <f aca="false">IF(L14&lt;0,0,L14*L15)</f>
        <v>#REF!</v>
      </c>
      <c r="M17" s="395" t="e">
        <f aca="false">IF(M14&lt;0,0,M14*M15)</f>
        <v>#REF!</v>
      </c>
      <c r="N17" s="395" t="e">
        <f aca="false">IF(N14&lt;0,0,N14*N15)</f>
        <v>#REF!</v>
      </c>
      <c r="O17" s="395" t="e">
        <f aca="false">IF(O14&lt;0,0,O14*O15)</f>
        <v>#REF!</v>
      </c>
      <c r="P17" s="395" t="e">
        <f aca="false">IF(P14&lt;0,0,P14*P15)</f>
        <v>#REF!</v>
      </c>
      <c r="Q17" s="395" t="e">
        <f aca="false">IF(Q14&lt;0,0,Q14*Q15)</f>
        <v>#REF!</v>
      </c>
      <c r="R17" s="395" t="e">
        <f aca="false">IF(R14&lt;0,0,R14*R15)</f>
        <v>#REF!</v>
      </c>
      <c r="S17" s="395" t="e">
        <f aca="false">IF(S14&lt;0,0,S14*S15)</f>
        <v>#VALUE!</v>
      </c>
      <c r="T17" s="395" t="e">
        <f aca="false">IF(T14&lt;0,0,T14*T15)</f>
        <v>#REF!</v>
      </c>
      <c r="U17" s="395" t="e">
        <f aca="false">IF(U14&lt;0,0,U14*U15)</f>
        <v>#REF!</v>
      </c>
      <c r="V17" s="395" t="e">
        <f aca="false">IF(V14&lt;0,0,V14*V15)</f>
        <v>#REF!</v>
      </c>
      <c r="W17" s="395" t="e">
        <f aca="false">IF(W14&lt;0,0,W14*W15)</f>
        <v>#REF!</v>
      </c>
      <c r="X17" s="395" t="e">
        <f aca="false">IF(X14&lt;0,0,X14*X15)</f>
        <v>#REF!</v>
      </c>
      <c r="Y17" s="395" t="e">
        <f aca="false">IF(Y14&lt;0,0,Y14*Y15)</f>
        <v>#REF!</v>
      </c>
      <c r="Z17" s="395" t="e">
        <f aca="false">IF(Z14&lt;0,0,Z14*Z15)</f>
        <v>#REF!</v>
      </c>
      <c r="AA17" s="395" t="e">
        <f aca="false">IF(AA14&lt;0,0,AA14*AA15)</f>
        <v>#REF!</v>
      </c>
      <c r="AB17" s="395" t="e">
        <f aca="false">IF(AB14&lt;0,0,AB14*AB15)</f>
        <v>#REF!</v>
      </c>
      <c r="AC17" s="395" t="e">
        <f aca="false">IF(AC14&lt;0,0,AC14*AC15)</f>
        <v>#REF!</v>
      </c>
      <c r="AD17" s="396" t="e">
        <f aca="false">SUM(D17:AC17)</f>
        <v>#REF!</v>
      </c>
    </row>
    <row r="20" customFormat="false" ht="12.75" hidden="false" customHeight="false" outlineLevel="0" collapsed="false">
      <c r="A20" s="367" t="s">
        <v>357</v>
      </c>
      <c r="B20" s="15"/>
      <c r="C20" s="15"/>
      <c r="D20" s="15"/>
      <c r="E20" s="15"/>
      <c r="F20" s="15"/>
      <c r="G20" s="15"/>
      <c r="H20" s="17"/>
      <c r="I20" s="30"/>
    </row>
    <row r="21" customFormat="false" ht="12.75" hidden="false" customHeight="false" outlineLevel="0" collapsed="false">
      <c r="A21" s="29"/>
      <c r="B21" s="30"/>
      <c r="C21" s="30"/>
      <c r="D21" s="141"/>
      <c r="E21" s="141" t="s">
        <v>358</v>
      </c>
      <c r="F21" s="141" t="s">
        <v>359</v>
      </c>
      <c r="G21" s="141"/>
      <c r="H21" s="397"/>
      <c r="I21" s="30"/>
    </row>
    <row r="22" customFormat="false" ht="12.75" hidden="false" customHeight="false" outlineLevel="0" collapsed="false">
      <c r="A22" s="29"/>
      <c r="B22" s="30"/>
      <c r="C22" s="30"/>
      <c r="D22" s="141" t="s">
        <v>360</v>
      </c>
      <c r="E22" s="141" t="s">
        <v>6</v>
      </c>
      <c r="F22" s="141" t="s">
        <v>6</v>
      </c>
      <c r="G22" s="141" t="s">
        <v>361</v>
      </c>
      <c r="H22" s="397" t="s">
        <v>362</v>
      </c>
      <c r="I22" s="30"/>
    </row>
    <row r="23" customFormat="false" ht="12.75" hidden="false" customHeight="false" outlineLevel="0" collapsed="false">
      <c r="A23" s="18"/>
      <c r="B23" s="398" t="s">
        <v>363</v>
      </c>
      <c r="C23" s="399" t="s">
        <v>294</v>
      </c>
      <c r="D23" s="400" t="s">
        <v>364</v>
      </c>
      <c r="E23" s="400" t="s">
        <v>365</v>
      </c>
      <c r="F23" s="400" t="s">
        <v>366</v>
      </c>
      <c r="G23" s="400" t="s">
        <v>364</v>
      </c>
      <c r="H23" s="401" t="s">
        <v>367</v>
      </c>
      <c r="I23" s="30"/>
    </row>
    <row r="24" customFormat="false" ht="12.75" hidden="false" customHeight="false" outlineLevel="0" collapsed="false">
      <c r="A24" s="57" t="s">
        <v>368</v>
      </c>
      <c r="B24" s="402" t="e">
        <f aca="false">(ASS!X40*ASS!X34+ASS!X48*ASS!X42+ASS!X56*ASS!X50+ASS!X64*ASS!X58+ASS!X72*ASS!X66+ASS!X80*ASS!X74)/(ASS!X74+ASS!X66+ASS!X58+ASS!X42+ASS!X34+ASS!$X$50)</f>
        <v>#REF!</v>
      </c>
      <c r="C24" s="30" t="n">
        <v>1</v>
      </c>
      <c r="D24" s="357" t="n">
        <v>0</v>
      </c>
      <c r="E24" s="212" t="e">
        <f aca="false">DEBT</f>
        <v>#REF!</v>
      </c>
      <c r="F24" s="212" t="e">
        <f aca="false">-HLOOKUP(C24,idc_table1,IDC!$AP$28+1)</f>
        <v>#REF!</v>
      </c>
      <c r="G24" s="212" t="e">
        <f aca="false">SUM(D24:F24)</f>
        <v>#REF!</v>
      </c>
      <c r="H24" s="76" t="e">
        <f aca="false">$B$24*(D24+E24)/12</f>
        <v>#REF!</v>
      </c>
      <c r="I24" s="30"/>
      <c r="K24" s="1" t="s">
        <v>1</v>
      </c>
    </row>
    <row r="25" customFormat="false" ht="12.75" hidden="false" customHeight="false" outlineLevel="0" collapsed="false">
      <c r="A25" s="29"/>
      <c r="B25" s="30"/>
      <c r="C25" s="30" t="n">
        <f aca="false">C24+1</f>
        <v>2</v>
      </c>
      <c r="D25" s="212" t="e">
        <f aca="false">G24</f>
        <v>#REF!</v>
      </c>
      <c r="E25" s="357" t="n">
        <v>0</v>
      </c>
      <c r="F25" s="212" t="e">
        <f aca="false">-HLOOKUP(C25,idc_table1,IDC!$AP$28+1)+HLOOKUP(C24,idc_table1,IDC!$AP$28+1)</f>
        <v>#REF!</v>
      </c>
      <c r="G25" s="212" t="e">
        <f aca="false">SUM(D25:F25)</f>
        <v>#REF!</v>
      </c>
      <c r="H25" s="76" t="e">
        <f aca="false">$B$24*(D25+E25)/12</f>
        <v>#REF!</v>
      </c>
      <c r="I25" s="30"/>
    </row>
    <row r="26" customFormat="false" ht="12.75" hidden="false" customHeight="false" outlineLevel="0" collapsed="false">
      <c r="A26" s="29"/>
      <c r="B26" s="30"/>
      <c r="C26" s="30" t="n">
        <f aca="false">C25+1</f>
        <v>3</v>
      </c>
      <c r="D26" s="212" t="e">
        <f aca="false">G25</f>
        <v>#REF!</v>
      </c>
      <c r="E26" s="357" t="n">
        <v>0</v>
      </c>
      <c r="F26" s="212" t="e">
        <f aca="false">-HLOOKUP(C26,idc_table1,IDC!$AP$28+1)+HLOOKUP(C25,idc_table1,IDC!$AP$28+1)</f>
        <v>#REF!</v>
      </c>
      <c r="G26" s="212" t="e">
        <f aca="false">SUM(D26:F26)</f>
        <v>#REF!</v>
      </c>
      <c r="H26" s="76" t="e">
        <f aca="false">$B$24*(D26+E26)/12</f>
        <v>#REF!</v>
      </c>
      <c r="I26" s="30"/>
    </row>
    <row r="27" customFormat="false" ht="12.75" hidden="false" customHeight="false" outlineLevel="0" collapsed="false">
      <c r="A27" s="29"/>
      <c r="B27" s="30"/>
      <c r="C27" s="30" t="n">
        <f aca="false">C26+1</f>
        <v>4</v>
      </c>
      <c r="D27" s="212" t="e">
        <f aca="false">G26</f>
        <v>#REF!</v>
      </c>
      <c r="E27" s="357" t="n">
        <v>0</v>
      </c>
      <c r="F27" s="212" t="e">
        <f aca="false">-HLOOKUP(C27,idc_table1,IDC!$AP$28+1)+HLOOKUP(C26,idc_table1,IDC!$AP$28+1)</f>
        <v>#REF!</v>
      </c>
      <c r="G27" s="212" t="e">
        <f aca="false">SUM(D27:F27)</f>
        <v>#REF!</v>
      </c>
      <c r="H27" s="76" t="e">
        <f aca="false">$B$24*(D27+E27)/12</f>
        <v>#REF!</v>
      </c>
      <c r="I27" s="30"/>
    </row>
    <row r="28" customFormat="false" ht="12.75" hidden="false" customHeight="false" outlineLevel="0" collapsed="false">
      <c r="A28" s="29"/>
      <c r="B28" s="30"/>
      <c r="C28" s="30" t="n">
        <f aca="false">C27+1</f>
        <v>5</v>
      </c>
      <c r="D28" s="212" t="e">
        <f aca="false">G27</f>
        <v>#REF!</v>
      </c>
      <c r="E28" s="357" t="n">
        <v>0</v>
      </c>
      <c r="F28" s="212" t="e">
        <f aca="false">-HLOOKUP(C28,idc_table1,IDC!$AP$28+1)+HLOOKUP(C27,idc_table1,IDC!$AP$28+1)</f>
        <v>#REF!</v>
      </c>
      <c r="G28" s="212" t="e">
        <f aca="false">SUM(D28:F28)</f>
        <v>#REF!</v>
      </c>
      <c r="H28" s="76" t="e">
        <f aca="false">$B$24*(D28+E28)/12</f>
        <v>#REF!</v>
      </c>
      <c r="I28" s="30"/>
    </row>
    <row r="29" customFormat="false" ht="12.75" hidden="false" customHeight="false" outlineLevel="0" collapsed="false">
      <c r="A29" s="29"/>
      <c r="B29" s="30"/>
      <c r="C29" s="30" t="n">
        <f aca="false">C28+1</f>
        <v>6</v>
      </c>
      <c r="D29" s="212" t="e">
        <f aca="false">G28</f>
        <v>#REF!</v>
      </c>
      <c r="E29" s="357" t="n">
        <v>0</v>
      </c>
      <c r="F29" s="212" t="e">
        <f aca="false">-HLOOKUP(C29,idc_table1,IDC!$AP$28+1)+HLOOKUP(C28,idc_table1,IDC!$AP$28+1)</f>
        <v>#REF!</v>
      </c>
      <c r="G29" s="212" t="e">
        <f aca="false">SUM(D29:F29)</f>
        <v>#REF!</v>
      </c>
      <c r="H29" s="76" t="e">
        <f aca="false">$B$24*(D29+E29)/12</f>
        <v>#REF!</v>
      </c>
      <c r="I29" s="30"/>
    </row>
    <row r="30" customFormat="false" ht="13.5" hidden="false" customHeight="false" outlineLevel="0" collapsed="false">
      <c r="A30" s="29"/>
      <c r="B30" s="30"/>
      <c r="C30" s="30" t="n">
        <f aca="false">C29+1</f>
        <v>7</v>
      </c>
      <c r="D30" s="212" t="e">
        <f aca="false">G29</f>
        <v>#REF!</v>
      </c>
      <c r="E30" s="357" t="n">
        <v>0</v>
      </c>
      <c r="F30" s="212" t="e">
        <f aca="false">-HLOOKUP(C30,idc_table1,IDC!$AP$28+1)+HLOOKUP(C29,idc_table1,IDC!$AP$28+1)</f>
        <v>#REF!</v>
      </c>
      <c r="G30" s="212" t="e">
        <f aca="false">SUM(D30:F30)</f>
        <v>#REF!</v>
      </c>
      <c r="H30" s="76" t="e">
        <f aca="false">$B$24*(D30+E30)/12</f>
        <v>#REF!</v>
      </c>
      <c r="I30" s="30"/>
    </row>
    <row r="31" customFormat="false" ht="13.5" hidden="false" customHeight="false" outlineLevel="0" collapsed="false">
      <c r="A31" s="403" t="s">
        <v>369</v>
      </c>
      <c r="B31" s="404"/>
      <c r="C31" s="30" t="n">
        <f aca="false">C30+1</f>
        <v>8</v>
      </c>
      <c r="D31" s="212" t="e">
        <f aca="false">G30</f>
        <v>#REF!</v>
      </c>
      <c r="E31" s="357" t="n">
        <v>0</v>
      </c>
      <c r="F31" s="212" t="e">
        <f aca="false">-HLOOKUP(C31,idc_table1,IDC!$AP$28+1)+HLOOKUP(C30,idc_table1,IDC!$AP$28+1)</f>
        <v>#REF!</v>
      </c>
      <c r="G31" s="212" t="e">
        <f aca="false">SUM(D31:F31)</f>
        <v>#REF!</v>
      </c>
      <c r="H31" s="76" t="e">
        <f aca="false">$B$24*(D31+E31)/12</f>
        <v>#REF!</v>
      </c>
      <c r="I31" s="30"/>
    </row>
    <row r="32" customFormat="false" ht="13.5" hidden="false" customHeight="false" outlineLevel="0" collapsed="false">
      <c r="A32" s="363"/>
      <c r="B32" s="405" t="e">
        <f aca="false">SUM(H24:H83)</f>
        <v>#REF!</v>
      </c>
      <c r="C32" s="30" t="n">
        <f aca="false">C31+1</f>
        <v>9</v>
      </c>
      <c r="D32" s="212" t="e">
        <f aca="false">G31</f>
        <v>#REF!</v>
      </c>
      <c r="E32" s="357" t="n">
        <v>0</v>
      </c>
      <c r="F32" s="212" t="e">
        <f aca="false">-HLOOKUP(C32,idc_table1,IDC!$AP$28+1)+HLOOKUP(C31,idc_table1,IDC!$AP$28+1)</f>
        <v>#REF!</v>
      </c>
      <c r="G32" s="212" t="e">
        <f aca="false">SUM(D32:F32)</f>
        <v>#REF!</v>
      </c>
      <c r="H32" s="76" t="e">
        <f aca="false">$B$24*(D32+E32)/12</f>
        <v>#REF!</v>
      </c>
      <c r="I32" s="30"/>
    </row>
    <row r="33" customFormat="false" ht="13.5" hidden="false" customHeight="false" outlineLevel="0" collapsed="false">
      <c r="A33" s="29"/>
      <c r="B33" s="30"/>
      <c r="C33" s="30" t="n">
        <f aca="false">C32+1</f>
        <v>10</v>
      </c>
      <c r="D33" s="212" t="e">
        <f aca="false">G32</f>
        <v>#REF!</v>
      </c>
      <c r="E33" s="357" t="n">
        <v>0</v>
      </c>
      <c r="F33" s="212" t="e">
        <f aca="false">-HLOOKUP(C33,idc_table1,IDC!$AP$28+1)+HLOOKUP(C32,idc_table1,IDC!$AP$28+1)</f>
        <v>#REF!</v>
      </c>
      <c r="G33" s="212" t="e">
        <f aca="false">SUM(D33:F33)</f>
        <v>#REF!</v>
      </c>
      <c r="H33" s="76" t="e">
        <f aca="false">$B$24*(D33+E33)/12</f>
        <v>#REF!</v>
      </c>
      <c r="I33" s="30"/>
    </row>
    <row r="34" customFormat="false" ht="12.75" hidden="false" customHeight="false" outlineLevel="0" collapsed="false">
      <c r="A34" s="29"/>
      <c r="B34" s="30"/>
      <c r="C34" s="30" t="n">
        <f aca="false">C33+1</f>
        <v>11</v>
      </c>
      <c r="D34" s="212" t="e">
        <f aca="false">G33</f>
        <v>#REF!</v>
      </c>
      <c r="E34" s="357" t="n">
        <v>0</v>
      </c>
      <c r="F34" s="212" t="e">
        <f aca="false">-HLOOKUP(C34,idc_table1,IDC!$AP$28+1)+HLOOKUP(C33,idc_table1,IDC!$AP$28+1)</f>
        <v>#REF!</v>
      </c>
      <c r="G34" s="212" t="e">
        <f aca="false">SUM(D34:F34)</f>
        <v>#REF!</v>
      </c>
      <c r="H34" s="76" t="e">
        <f aca="false">$B$24*(D34+E34)/12</f>
        <v>#REF!</v>
      </c>
      <c r="I34" s="30"/>
    </row>
    <row r="35" customFormat="false" ht="12.75" hidden="false" customHeight="false" outlineLevel="0" collapsed="false">
      <c r="A35" s="29"/>
      <c r="B35" s="30"/>
      <c r="C35" s="30" t="n">
        <f aca="false">C34+1</f>
        <v>12</v>
      </c>
      <c r="D35" s="212" t="e">
        <f aca="false">G34</f>
        <v>#REF!</v>
      </c>
      <c r="E35" s="357" t="n">
        <v>0</v>
      </c>
      <c r="F35" s="212" t="e">
        <f aca="false">-HLOOKUP(C35,idc_table1,IDC!$AP$28+1)+HLOOKUP(C34,idc_table1,IDC!$AP$28+1)</f>
        <v>#REF!</v>
      </c>
      <c r="G35" s="212" t="e">
        <f aca="false">SUM(D35:F35)</f>
        <v>#REF!</v>
      </c>
      <c r="H35" s="76" t="e">
        <f aca="false">$B$24*(D35+E35)/12</f>
        <v>#REF!</v>
      </c>
      <c r="I35" s="30"/>
    </row>
    <row r="36" customFormat="false" ht="12.75" hidden="false" customHeight="false" outlineLevel="0" collapsed="false">
      <c r="A36" s="29"/>
      <c r="B36" s="30"/>
      <c r="C36" s="30" t="n">
        <f aca="false">C35+1</f>
        <v>13</v>
      </c>
      <c r="D36" s="212" t="e">
        <f aca="false">G35</f>
        <v>#REF!</v>
      </c>
      <c r="E36" s="357" t="n">
        <v>0</v>
      </c>
      <c r="F36" s="212" t="e">
        <f aca="false">-HLOOKUP(C36,idc_table1,IDC!$AP$28+1)+HLOOKUP(C35,idc_table1,IDC!$AP$28+1)</f>
        <v>#REF!</v>
      </c>
      <c r="G36" s="212" t="e">
        <f aca="false">SUM(D36:F36)</f>
        <v>#REF!</v>
      </c>
      <c r="H36" s="76" t="e">
        <f aca="false">$B$24*(D36+E36)/12</f>
        <v>#REF!</v>
      </c>
      <c r="I36" s="30"/>
    </row>
    <row r="37" customFormat="false" ht="12.75" hidden="false" customHeight="false" outlineLevel="0" collapsed="false">
      <c r="A37" s="29"/>
      <c r="B37" s="30"/>
      <c r="C37" s="30" t="n">
        <f aca="false">C36+1</f>
        <v>14</v>
      </c>
      <c r="D37" s="212" t="e">
        <f aca="false">G36</f>
        <v>#REF!</v>
      </c>
      <c r="E37" s="357" t="n">
        <v>0</v>
      </c>
      <c r="F37" s="212" t="e">
        <f aca="false">-HLOOKUP(C37,idc_table1,IDC!$AP$28+1)+HLOOKUP(C36,idc_table1,IDC!$AP$28+1)</f>
        <v>#REF!</v>
      </c>
      <c r="G37" s="212" t="e">
        <f aca="false">SUM(D37:F37)</f>
        <v>#REF!</v>
      </c>
      <c r="H37" s="76" t="e">
        <f aca="false">$B$24*(D37+E37)/12</f>
        <v>#REF!</v>
      </c>
      <c r="I37" s="30"/>
    </row>
    <row r="38" customFormat="false" ht="12.75" hidden="false" customHeight="false" outlineLevel="0" collapsed="false">
      <c r="A38" s="29"/>
      <c r="B38" s="30"/>
      <c r="C38" s="30" t="n">
        <f aca="false">C37+1</f>
        <v>15</v>
      </c>
      <c r="D38" s="212" t="e">
        <f aca="false">G37</f>
        <v>#REF!</v>
      </c>
      <c r="E38" s="357" t="n">
        <v>0</v>
      </c>
      <c r="F38" s="212" t="e">
        <f aca="false">-HLOOKUP(C38,idc_table1,IDC!$AP$28+1)+HLOOKUP(C37,idc_table1,IDC!$AP$28+1)</f>
        <v>#REF!</v>
      </c>
      <c r="G38" s="212" t="e">
        <f aca="false">SUM(D38:F38)</f>
        <v>#REF!</v>
      </c>
      <c r="H38" s="76" t="e">
        <f aca="false">$B$24*(D38+E38)/12</f>
        <v>#REF!</v>
      </c>
      <c r="I38" s="30"/>
    </row>
    <row r="39" customFormat="false" ht="12.75" hidden="false" customHeight="false" outlineLevel="0" collapsed="false">
      <c r="A39" s="29"/>
      <c r="B39" s="30"/>
      <c r="C39" s="30" t="n">
        <f aca="false">C38+1</f>
        <v>16</v>
      </c>
      <c r="D39" s="212" t="e">
        <f aca="false">G38</f>
        <v>#REF!</v>
      </c>
      <c r="E39" s="357" t="n">
        <v>0</v>
      </c>
      <c r="F39" s="212" t="e">
        <f aca="false">-HLOOKUP(C39,idc_table1,IDC!$AP$28+1)+HLOOKUP(C38,idc_table1,IDC!$AP$28+1)</f>
        <v>#REF!</v>
      </c>
      <c r="G39" s="212" t="e">
        <f aca="false">SUM(D39:F39)</f>
        <v>#REF!</v>
      </c>
      <c r="H39" s="76" t="e">
        <f aca="false">$B$24*(D39+E39)/12</f>
        <v>#REF!</v>
      </c>
      <c r="I39" s="30"/>
    </row>
    <row r="40" customFormat="false" ht="12.75" hidden="false" customHeight="false" outlineLevel="0" collapsed="false">
      <c r="A40" s="29"/>
      <c r="B40" s="30"/>
      <c r="C40" s="30" t="n">
        <f aca="false">C39+1</f>
        <v>17</v>
      </c>
      <c r="D40" s="212" t="e">
        <f aca="false">G39</f>
        <v>#REF!</v>
      </c>
      <c r="E40" s="357" t="n">
        <v>0</v>
      </c>
      <c r="F40" s="212" t="e">
        <f aca="false">-HLOOKUP(C40,idc_table1,IDC!$AP$28+1)+HLOOKUP(C39,idc_table1,IDC!$AP$28+1)</f>
        <v>#REF!</v>
      </c>
      <c r="G40" s="212" t="e">
        <f aca="false">SUM(D40:F40)</f>
        <v>#REF!</v>
      </c>
      <c r="H40" s="76" t="e">
        <f aca="false">$B$24*(D40+E40)/12</f>
        <v>#REF!</v>
      </c>
      <c r="I40" s="30"/>
    </row>
    <row r="41" customFormat="false" ht="12.75" hidden="false" customHeight="false" outlineLevel="0" collapsed="false">
      <c r="A41" s="29"/>
      <c r="B41" s="30"/>
      <c r="C41" s="30" t="n">
        <f aca="false">C40+1</f>
        <v>18</v>
      </c>
      <c r="D41" s="212" t="e">
        <f aca="false">G40</f>
        <v>#REF!</v>
      </c>
      <c r="E41" s="357" t="n">
        <v>0</v>
      </c>
      <c r="F41" s="212" t="e">
        <f aca="false">-HLOOKUP(C41,idc_table1,IDC!$AP$28+1)+HLOOKUP(C40,idc_table1,IDC!$AP$28+1)</f>
        <v>#REF!</v>
      </c>
      <c r="G41" s="212" t="e">
        <f aca="false">SUM(D41:F41)</f>
        <v>#REF!</v>
      </c>
      <c r="H41" s="76" t="e">
        <f aca="false">$B$24*(D41+E41)/12</f>
        <v>#REF!</v>
      </c>
      <c r="I41" s="30"/>
    </row>
    <row r="42" customFormat="false" ht="12.75" hidden="false" customHeight="false" outlineLevel="0" collapsed="false">
      <c r="A42" s="29"/>
      <c r="B42" s="30"/>
      <c r="C42" s="30" t="n">
        <f aca="false">C41+1</f>
        <v>19</v>
      </c>
      <c r="D42" s="212" t="e">
        <f aca="false">G41</f>
        <v>#REF!</v>
      </c>
      <c r="E42" s="357" t="n">
        <v>0</v>
      </c>
      <c r="F42" s="212" t="e">
        <f aca="false">-HLOOKUP(C42,idc_table1,IDC!$AP$28+1)+HLOOKUP(C41,idc_table1,IDC!$AP$28+1)</f>
        <v>#REF!</v>
      </c>
      <c r="G42" s="212" t="e">
        <f aca="false">SUM(D42:F42)</f>
        <v>#REF!</v>
      </c>
      <c r="H42" s="76" t="e">
        <f aca="false">$B$24*(D42+E42)/12</f>
        <v>#REF!</v>
      </c>
      <c r="I42" s="30"/>
    </row>
    <row r="43" customFormat="false" ht="12.75" hidden="false" customHeight="false" outlineLevel="0" collapsed="false">
      <c r="A43" s="29"/>
      <c r="B43" s="30"/>
      <c r="C43" s="30" t="n">
        <f aca="false">C42+1</f>
        <v>20</v>
      </c>
      <c r="D43" s="212" t="e">
        <f aca="false">G42</f>
        <v>#REF!</v>
      </c>
      <c r="E43" s="357" t="n">
        <v>0</v>
      </c>
      <c r="F43" s="212" t="e">
        <f aca="false">-HLOOKUP(C43,idc_table1,IDC!$AP$28+1)+HLOOKUP(C42,idc_table1,IDC!$AP$28+1)</f>
        <v>#REF!</v>
      </c>
      <c r="G43" s="212" t="e">
        <f aca="false">SUM(D43:F43)</f>
        <v>#REF!</v>
      </c>
      <c r="H43" s="76" t="e">
        <f aca="false">$B$24*(D43+E43)/12</f>
        <v>#REF!</v>
      </c>
      <c r="I43" s="30"/>
    </row>
    <row r="44" customFormat="false" ht="12.75" hidden="false" customHeight="false" outlineLevel="0" collapsed="false">
      <c r="A44" s="29"/>
      <c r="B44" s="30"/>
      <c r="C44" s="30" t="n">
        <f aca="false">C43+1</f>
        <v>21</v>
      </c>
      <c r="D44" s="212" t="e">
        <f aca="false">G43</f>
        <v>#REF!</v>
      </c>
      <c r="E44" s="357" t="n">
        <v>0</v>
      </c>
      <c r="F44" s="212" t="e">
        <f aca="false">-HLOOKUP(C44,idc_table1,IDC!$AP$28+1)+HLOOKUP(C43,idc_table1,IDC!$AP$28+1)</f>
        <v>#REF!</v>
      </c>
      <c r="G44" s="212" t="e">
        <f aca="false">SUM(D44:F44)</f>
        <v>#REF!</v>
      </c>
      <c r="H44" s="76" t="e">
        <f aca="false">$B$24*(D44+E44)/12</f>
        <v>#REF!</v>
      </c>
      <c r="I44" s="30"/>
    </row>
    <row r="45" customFormat="false" ht="12.75" hidden="false" customHeight="false" outlineLevel="0" collapsed="false">
      <c r="A45" s="29"/>
      <c r="B45" s="30"/>
      <c r="C45" s="30" t="n">
        <f aca="false">C44+1</f>
        <v>22</v>
      </c>
      <c r="D45" s="212" t="e">
        <f aca="false">G44</f>
        <v>#REF!</v>
      </c>
      <c r="E45" s="357" t="n">
        <v>0</v>
      </c>
      <c r="F45" s="212" t="e">
        <f aca="false">-HLOOKUP(C45,idc_table1,IDC!$AP$28+1)+HLOOKUP(C44,idc_table1,IDC!$AP$28+1)</f>
        <v>#REF!</v>
      </c>
      <c r="G45" s="212" t="e">
        <f aca="false">SUM(D45:F45)</f>
        <v>#REF!</v>
      </c>
      <c r="H45" s="76" t="e">
        <f aca="false">$B$24*(D45+E45)/12</f>
        <v>#REF!</v>
      </c>
      <c r="I45" s="30"/>
    </row>
    <row r="46" customFormat="false" ht="12.75" hidden="false" customHeight="false" outlineLevel="0" collapsed="false">
      <c r="A46" s="29"/>
      <c r="B46" s="30"/>
      <c r="C46" s="30" t="n">
        <f aca="false">C45+1</f>
        <v>23</v>
      </c>
      <c r="D46" s="212" t="e">
        <f aca="false">G45</f>
        <v>#REF!</v>
      </c>
      <c r="E46" s="357" t="n">
        <v>0</v>
      </c>
      <c r="F46" s="212" t="e">
        <f aca="false">-HLOOKUP(C46,idc_table1,IDC!$AP$28+1)+HLOOKUP(C45,idc_table1,IDC!$AP$28+1)</f>
        <v>#REF!</v>
      </c>
      <c r="G46" s="212" t="e">
        <f aca="false">SUM(D46:F46)</f>
        <v>#REF!</v>
      </c>
      <c r="H46" s="76" t="e">
        <f aca="false">$B$24*(D46+E46)/12</f>
        <v>#REF!</v>
      </c>
      <c r="I46" s="30"/>
    </row>
    <row r="47" customFormat="false" ht="12.75" hidden="false" customHeight="false" outlineLevel="0" collapsed="false">
      <c r="A47" s="29"/>
      <c r="B47" s="30"/>
      <c r="C47" s="30" t="n">
        <f aca="false">C46+1</f>
        <v>24</v>
      </c>
      <c r="D47" s="212" t="e">
        <f aca="false">G46</f>
        <v>#REF!</v>
      </c>
      <c r="E47" s="357" t="n">
        <v>0</v>
      </c>
      <c r="F47" s="212" t="e">
        <f aca="false">-HLOOKUP(C47,idc_table1,IDC!$AP$28+1)+HLOOKUP(C46,idc_table1,IDC!$AP$28+1)</f>
        <v>#REF!</v>
      </c>
      <c r="G47" s="212" t="e">
        <f aca="false">SUM(D47:F47)</f>
        <v>#REF!</v>
      </c>
      <c r="H47" s="76" t="e">
        <f aca="false">$B$24*(D47+E47)/12</f>
        <v>#REF!</v>
      </c>
      <c r="I47" s="30"/>
    </row>
    <row r="48" customFormat="false" ht="12.75" hidden="false" customHeight="false" outlineLevel="0" collapsed="false">
      <c r="A48" s="29"/>
      <c r="B48" s="30"/>
      <c r="C48" s="30" t="n">
        <f aca="false">C47+1</f>
        <v>25</v>
      </c>
      <c r="D48" s="212" t="e">
        <f aca="false">G47</f>
        <v>#REF!</v>
      </c>
      <c r="E48" s="357" t="n">
        <v>0</v>
      </c>
      <c r="F48" s="212" t="e">
        <f aca="false">-HLOOKUP(C48,idc_table1,IDC!$AP$28+1)+HLOOKUP(C47,idc_table1,IDC!$AP$28+1)</f>
        <v>#REF!</v>
      </c>
      <c r="G48" s="212" t="e">
        <f aca="false">SUM(D48:F48)</f>
        <v>#REF!</v>
      </c>
      <c r="H48" s="76" t="e">
        <f aca="false">$B$24*(D48+E48)/12</f>
        <v>#REF!</v>
      </c>
      <c r="I48" s="30"/>
    </row>
    <row r="49" customFormat="false" ht="12.75" hidden="false" customHeight="false" outlineLevel="0" collapsed="false">
      <c r="A49" s="29"/>
      <c r="B49" s="30"/>
      <c r="C49" s="30" t="n">
        <f aca="false">C48+1</f>
        <v>26</v>
      </c>
      <c r="D49" s="212" t="e">
        <f aca="false">G48</f>
        <v>#REF!</v>
      </c>
      <c r="E49" s="357" t="n">
        <v>0</v>
      </c>
      <c r="F49" s="212" t="e">
        <f aca="false">-HLOOKUP(C49,idc_table1,IDC!$AP$28+1)+HLOOKUP(C48,idc_table1,IDC!$AP$28+1)</f>
        <v>#REF!</v>
      </c>
      <c r="G49" s="212" t="e">
        <f aca="false">SUM(D49:F49)</f>
        <v>#REF!</v>
      </c>
      <c r="H49" s="76" t="e">
        <f aca="false">$B$24*(D49+E49)/12</f>
        <v>#REF!</v>
      </c>
      <c r="I49" s="30"/>
    </row>
    <row r="50" customFormat="false" ht="12.75" hidden="false" customHeight="false" outlineLevel="0" collapsed="false">
      <c r="A50" s="29"/>
      <c r="B50" s="30"/>
      <c r="C50" s="30" t="n">
        <f aca="false">C49+1</f>
        <v>27</v>
      </c>
      <c r="D50" s="212" t="e">
        <f aca="false">G49</f>
        <v>#REF!</v>
      </c>
      <c r="E50" s="357" t="n">
        <v>0</v>
      </c>
      <c r="F50" s="212" t="e">
        <f aca="false">-HLOOKUP(C50,idc_table1,IDC!$AP$28+1)+HLOOKUP(C49,idc_table1,IDC!$AP$28+1)</f>
        <v>#REF!</v>
      </c>
      <c r="G50" s="212" t="e">
        <f aca="false">SUM(D50:F50)</f>
        <v>#REF!</v>
      </c>
      <c r="H50" s="76" t="e">
        <f aca="false">$B$24*(D50+E50)/12</f>
        <v>#REF!</v>
      </c>
      <c r="I50" s="30"/>
    </row>
    <row r="51" customFormat="false" ht="12.75" hidden="false" customHeight="false" outlineLevel="0" collapsed="false">
      <c r="A51" s="29"/>
      <c r="B51" s="30"/>
      <c r="C51" s="30" t="n">
        <f aca="false">C50+1</f>
        <v>28</v>
      </c>
      <c r="D51" s="212" t="e">
        <f aca="false">G50</f>
        <v>#REF!</v>
      </c>
      <c r="E51" s="357" t="n">
        <v>0</v>
      </c>
      <c r="F51" s="212" t="e">
        <f aca="false">-HLOOKUP(C51,idc_table1,IDC!$AP$28+1)+HLOOKUP(C50,idc_table1,IDC!$AP$28+1)</f>
        <v>#REF!</v>
      </c>
      <c r="G51" s="212" t="e">
        <f aca="false">SUM(D51:F51)</f>
        <v>#REF!</v>
      </c>
      <c r="H51" s="76" t="e">
        <f aca="false">$B$24*(D51+E51)/12</f>
        <v>#REF!</v>
      </c>
      <c r="I51" s="30"/>
    </row>
    <row r="52" customFormat="false" ht="12.75" hidden="false" customHeight="false" outlineLevel="0" collapsed="false">
      <c r="A52" s="29"/>
      <c r="B52" s="30"/>
      <c r="C52" s="30" t="n">
        <f aca="false">C51+1</f>
        <v>29</v>
      </c>
      <c r="D52" s="212" t="e">
        <f aca="false">G51</f>
        <v>#REF!</v>
      </c>
      <c r="E52" s="357" t="n">
        <v>0</v>
      </c>
      <c r="F52" s="212" t="e">
        <f aca="false">-HLOOKUP(C52,idc_table1,IDC!$AP$28+1)+HLOOKUP(C51,idc_table1,IDC!$AP$28+1)</f>
        <v>#REF!</v>
      </c>
      <c r="G52" s="212" t="e">
        <f aca="false">SUM(D52:F52)</f>
        <v>#REF!</v>
      </c>
      <c r="H52" s="76" t="e">
        <f aca="false">$B$24*(D52+E52)/12</f>
        <v>#REF!</v>
      </c>
      <c r="I52" s="30"/>
    </row>
    <row r="53" customFormat="false" ht="12.75" hidden="false" customHeight="false" outlineLevel="0" collapsed="false">
      <c r="A53" s="29"/>
      <c r="B53" s="30"/>
      <c r="C53" s="30" t="n">
        <f aca="false">C52+1</f>
        <v>30</v>
      </c>
      <c r="D53" s="212" t="e">
        <f aca="false">G52</f>
        <v>#REF!</v>
      </c>
      <c r="E53" s="357" t="n">
        <v>0</v>
      </c>
      <c r="F53" s="212" t="e">
        <f aca="false">-HLOOKUP(C53,idc_table1,IDC!$AP$28+1)+HLOOKUP(C52,idc_table1,IDC!$AP$28+1)</f>
        <v>#REF!</v>
      </c>
      <c r="G53" s="212" t="e">
        <f aca="false">SUM(D53:F53)</f>
        <v>#REF!</v>
      </c>
      <c r="H53" s="76" t="e">
        <f aca="false">$B$24*(D53+E53)/12</f>
        <v>#REF!</v>
      </c>
      <c r="I53" s="30"/>
    </row>
    <row r="54" customFormat="false" ht="12.75" hidden="false" customHeight="false" outlineLevel="0" collapsed="false">
      <c r="A54" s="29"/>
      <c r="B54" s="30"/>
      <c r="C54" s="30" t="n">
        <f aca="false">C53+1</f>
        <v>31</v>
      </c>
      <c r="D54" s="212" t="e">
        <f aca="false">G53</f>
        <v>#REF!</v>
      </c>
      <c r="E54" s="357" t="n">
        <v>0</v>
      </c>
      <c r="F54" s="212" t="e">
        <f aca="false">-HLOOKUP(C54,idc_table1,IDC!$AP$28+1)+HLOOKUP(C53,idc_table1,IDC!$AP$28+1)</f>
        <v>#REF!</v>
      </c>
      <c r="G54" s="212" t="e">
        <f aca="false">SUM(D54:F54)</f>
        <v>#REF!</v>
      </c>
      <c r="H54" s="76" t="e">
        <f aca="false">$B$24*(D54+E54)/12</f>
        <v>#REF!</v>
      </c>
      <c r="I54" s="30"/>
    </row>
    <row r="55" customFormat="false" ht="12.75" hidden="false" customHeight="false" outlineLevel="0" collapsed="false">
      <c r="A55" s="29"/>
      <c r="B55" s="30"/>
      <c r="C55" s="30" t="n">
        <f aca="false">C54+1</f>
        <v>32</v>
      </c>
      <c r="D55" s="212" t="e">
        <f aca="false">G54</f>
        <v>#REF!</v>
      </c>
      <c r="E55" s="357" t="n">
        <v>0</v>
      </c>
      <c r="F55" s="212" t="e">
        <f aca="false">-HLOOKUP(C55,idc_table1,IDC!$AP$28+1)+HLOOKUP(C54,idc_table1,IDC!$AP$28+1)</f>
        <v>#REF!</v>
      </c>
      <c r="G55" s="212" t="e">
        <f aca="false">SUM(D55:F55)</f>
        <v>#REF!</v>
      </c>
      <c r="H55" s="76" t="e">
        <f aca="false">$B$24*(D55+E55)/12</f>
        <v>#REF!</v>
      </c>
      <c r="I55" s="30"/>
    </row>
    <row r="56" customFormat="false" ht="12.75" hidden="false" customHeight="false" outlineLevel="0" collapsed="false">
      <c r="A56" s="29"/>
      <c r="B56" s="30"/>
      <c r="C56" s="30" t="n">
        <f aca="false">C55+1</f>
        <v>33</v>
      </c>
      <c r="D56" s="212" t="e">
        <f aca="false">G55</f>
        <v>#REF!</v>
      </c>
      <c r="E56" s="357" t="n">
        <v>0</v>
      </c>
      <c r="F56" s="212" t="e">
        <f aca="false">-HLOOKUP(C56,idc_table1,IDC!$AP$28+1)+HLOOKUP(C55,idc_table1,IDC!$AP$28+1)</f>
        <v>#REF!</v>
      </c>
      <c r="G56" s="212" t="e">
        <f aca="false">SUM(D56:F56)</f>
        <v>#REF!</v>
      </c>
      <c r="H56" s="76" t="e">
        <f aca="false">$B$24*(D56+E56)/12</f>
        <v>#REF!</v>
      </c>
      <c r="I56" s="30"/>
    </row>
    <row r="57" customFormat="false" ht="12.75" hidden="false" customHeight="false" outlineLevel="0" collapsed="false">
      <c r="A57" s="29"/>
      <c r="B57" s="30"/>
      <c r="C57" s="30" t="n">
        <f aca="false">C56+1</f>
        <v>34</v>
      </c>
      <c r="D57" s="212" t="e">
        <f aca="false">G56</f>
        <v>#REF!</v>
      </c>
      <c r="E57" s="357" t="n">
        <v>0</v>
      </c>
      <c r="F57" s="212" t="e">
        <f aca="false">-HLOOKUP(C57,idc_table1,IDC!$AP$28+1)+HLOOKUP(C56,idc_table1,IDC!$AP$28+1)</f>
        <v>#REF!</v>
      </c>
      <c r="G57" s="212" t="e">
        <f aca="false">SUM(D57:F57)</f>
        <v>#REF!</v>
      </c>
      <c r="H57" s="76" t="e">
        <f aca="false">$B$24*(D57+E57)/12</f>
        <v>#REF!</v>
      </c>
      <c r="I57" s="30"/>
    </row>
    <row r="58" customFormat="false" ht="12.75" hidden="false" customHeight="false" outlineLevel="0" collapsed="false">
      <c r="A58" s="29"/>
      <c r="B58" s="30"/>
      <c r="C58" s="30" t="n">
        <f aca="false">C57+1</f>
        <v>35</v>
      </c>
      <c r="D58" s="212" t="e">
        <f aca="false">G57</f>
        <v>#REF!</v>
      </c>
      <c r="E58" s="357" t="n">
        <v>0</v>
      </c>
      <c r="F58" s="212" t="e">
        <f aca="false">-HLOOKUP(C58,idc_table1,IDC!$AP$28+1)+HLOOKUP(C57,idc_table1,IDC!$AP$28+1)</f>
        <v>#REF!</v>
      </c>
      <c r="G58" s="212" t="e">
        <f aca="false">SUM(D58:F58)</f>
        <v>#REF!</v>
      </c>
      <c r="H58" s="76" t="e">
        <f aca="false">$B$24*(D58+E58)/12</f>
        <v>#REF!</v>
      </c>
      <c r="I58" s="30"/>
    </row>
    <row r="59" customFormat="false" ht="12.75" hidden="false" customHeight="false" outlineLevel="0" collapsed="false">
      <c r="A59" s="29"/>
      <c r="B59" s="30"/>
      <c r="C59" s="30" t="n">
        <f aca="false">C58+1</f>
        <v>36</v>
      </c>
      <c r="D59" s="212" t="e">
        <f aca="false">G58</f>
        <v>#REF!</v>
      </c>
      <c r="E59" s="357" t="n">
        <v>0</v>
      </c>
      <c r="F59" s="212" t="e">
        <f aca="false">-HLOOKUP(C59,idc_table1,IDC!$AP$28+1)+HLOOKUP(C58,idc_table1,IDC!$AP$28+1)</f>
        <v>#REF!</v>
      </c>
      <c r="G59" s="212" t="e">
        <f aca="false">SUM(D59:F59)</f>
        <v>#REF!</v>
      </c>
      <c r="H59" s="76" t="e">
        <f aca="false">$B$24*(D59+E59)/12</f>
        <v>#REF!</v>
      </c>
      <c r="I59" s="30"/>
    </row>
    <row r="60" customFormat="false" ht="12.75" hidden="false" customHeight="false" outlineLevel="0" collapsed="false">
      <c r="A60" s="29"/>
      <c r="B60" s="30"/>
      <c r="C60" s="30" t="n">
        <f aca="false">C59+1</f>
        <v>37</v>
      </c>
      <c r="D60" s="212" t="e">
        <f aca="false">G59</f>
        <v>#REF!</v>
      </c>
      <c r="E60" s="357" t="n">
        <v>0</v>
      </c>
      <c r="F60" s="212" t="e">
        <f aca="false">-HLOOKUP(C60,idc_table1,IDC!$AP$28+1)+HLOOKUP(C59,idc_table1,IDC!$AP$28+1)</f>
        <v>#REF!</v>
      </c>
      <c r="G60" s="212" t="e">
        <f aca="false">SUM(D60:F60)</f>
        <v>#REF!</v>
      </c>
      <c r="H60" s="76" t="e">
        <f aca="false">$B$24*(D60+E60)/12</f>
        <v>#REF!</v>
      </c>
      <c r="I60" s="30"/>
    </row>
    <row r="61" customFormat="false" ht="12.75" hidden="false" customHeight="false" outlineLevel="0" collapsed="false">
      <c r="A61" s="29"/>
      <c r="B61" s="30"/>
      <c r="C61" s="30" t="n">
        <f aca="false">C60+1</f>
        <v>38</v>
      </c>
      <c r="D61" s="212" t="e">
        <f aca="false">G60</f>
        <v>#REF!</v>
      </c>
      <c r="E61" s="357" t="n">
        <v>0</v>
      </c>
      <c r="F61" s="212" t="e">
        <f aca="false">-HLOOKUP(C61,idc_table1,IDC!$AP$28+1)+HLOOKUP(C60,idc_table1,IDC!$AP$28+1)</f>
        <v>#REF!</v>
      </c>
      <c r="G61" s="212" t="e">
        <f aca="false">SUM(D61:F61)</f>
        <v>#REF!</v>
      </c>
      <c r="H61" s="76" t="e">
        <f aca="false">$B$24*(D61+E61)/12</f>
        <v>#REF!</v>
      </c>
      <c r="I61" s="30"/>
    </row>
    <row r="62" customFormat="false" ht="12.75" hidden="false" customHeight="false" outlineLevel="0" collapsed="false">
      <c r="A62" s="29"/>
      <c r="B62" s="30"/>
      <c r="C62" s="30" t="n">
        <f aca="false">C61+1</f>
        <v>39</v>
      </c>
      <c r="D62" s="212" t="e">
        <f aca="false">G61</f>
        <v>#REF!</v>
      </c>
      <c r="E62" s="357" t="n">
        <v>0</v>
      </c>
      <c r="F62" s="212" t="e">
        <f aca="false">-HLOOKUP(C62,idc_table1,IDC!$AP$28+1)+HLOOKUP(C61,idc_table1,IDC!$AP$28+1)</f>
        <v>#REF!</v>
      </c>
      <c r="G62" s="212" t="e">
        <f aca="false">SUM(D62:F62)</f>
        <v>#REF!</v>
      </c>
      <c r="H62" s="76" t="e">
        <f aca="false">$B$24*(D62+E62)/12</f>
        <v>#REF!</v>
      </c>
      <c r="I62" s="30"/>
    </row>
    <row r="63" customFormat="false" ht="12.75" hidden="false" customHeight="false" outlineLevel="0" collapsed="false">
      <c r="A63" s="29"/>
      <c r="B63" s="30"/>
      <c r="C63" s="30" t="n">
        <f aca="false">C62+1</f>
        <v>40</v>
      </c>
      <c r="D63" s="212" t="e">
        <f aca="false">G62</f>
        <v>#REF!</v>
      </c>
      <c r="E63" s="357" t="n">
        <v>0</v>
      </c>
      <c r="F63" s="212" t="e">
        <f aca="false">-HLOOKUP(C63,idc_table1,IDC!$AP$28+1)+HLOOKUP(C62,idc_table1,IDC!$AP$28+1)</f>
        <v>#REF!</v>
      </c>
      <c r="G63" s="212" t="e">
        <f aca="false">SUM(D63:F63)</f>
        <v>#REF!</v>
      </c>
      <c r="H63" s="76" t="e">
        <f aca="false">$B$24*(D63+E63)/12</f>
        <v>#REF!</v>
      </c>
      <c r="I63" s="30"/>
    </row>
    <row r="64" customFormat="false" ht="12.75" hidden="false" customHeight="false" outlineLevel="0" collapsed="false">
      <c r="A64" s="29"/>
      <c r="B64" s="30"/>
      <c r="C64" s="30" t="n">
        <f aca="false">C63+1</f>
        <v>41</v>
      </c>
      <c r="D64" s="212" t="e">
        <f aca="false">G63</f>
        <v>#REF!</v>
      </c>
      <c r="E64" s="357" t="n">
        <v>0</v>
      </c>
      <c r="F64" s="212" t="e">
        <f aca="false">-HLOOKUP(C64,idc_table1,IDC!$AP$28+1)+HLOOKUP(C63,idc_table1,IDC!$AP$28+1)</f>
        <v>#REF!</v>
      </c>
      <c r="G64" s="212" t="e">
        <f aca="false">SUM(D64:F64)</f>
        <v>#REF!</v>
      </c>
      <c r="H64" s="76" t="e">
        <f aca="false">$B$24*(D64+E64)/12</f>
        <v>#REF!</v>
      </c>
      <c r="I64" s="30"/>
    </row>
    <row r="65" customFormat="false" ht="12.75" hidden="false" customHeight="false" outlineLevel="0" collapsed="false">
      <c r="A65" s="29"/>
      <c r="B65" s="30"/>
      <c r="C65" s="30" t="n">
        <f aca="false">C64+1</f>
        <v>42</v>
      </c>
      <c r="D65" s="212" t="e">
        <f aca="false">G64</f>
        <v>#REF!</v>
      </c>
      <c r="E65" s="357" t="n">
        <v>0</v>
      </c>
      <c r="F65" s="212" t="e">
        <f aca="false">-HLOOKUP(C65,idc_table1,IDC!$AP$28+1)+HLOOKUP(C64,idc_table1,IDC!$AP$28+1)</f>
        <v>#REF!</v>
      </c>
      <c r="G65" s="212" t="e">
        <f aca="false">SUM(D65:F65)</f>
        <v>#REF!</v>
      </c>
      <c r="H65" s="76" t="e">
        <f aca="false">$B$24*(D65+E65)/12</f>
        <v>#REF!</v>
      </c>
      <c r="I65" s="30"/>
    </row>
    <row r="66" customFormat="false" ht="12.75" hidden="false" customHeight="false" outlineLevel="0" collapsed="false">
      <c r="A66" s="29"/>
      <c r="B66" s="30"/>
      <c r="C66" s="30" t="n">
        <f aca="false">C65+1</f>
        <v>43</v>
      </c>
      <c r="D66" s="212" t="e">
        <f aca="false">G65</f>
        <v>#REF!</v>
      </c>
      <c r="E66" s="357" t="n">
        <v>0</v>
      </c>
      <c r="F66" s="212" t="e">
        <f aca="false">-HLOOKUP(C66,idc_table1,IDC!$AP$28+1)+HLOOKUP(C65,idc_table1,IDC!$AP$28+1)</f>
        <v>#REF!</v>
      </c>
      <c r="G66" s="212" t="e">
        <f aca="false">SUM(D66:F66)</f>
        <v>#REF!</v>
      </c>
      <c r="H66" s="76" t="e">
        <f aca="false">$B$24*(D66+E66)/12</f>
        <v>#REF!</v>
      </c>
      <c r="I66" s="30"/>
    </row>
    <row r="67" customFormat="false" ht="12.75" hidden="false" customHeight="false" outlineLevel="0" collapsed="false">
      <c r="A67" s="29"/>
      <c r="B67" s="30"/>
      <c r="C67" s="30" t="n">
        <f aca="false">C66+1</f>
        <v>44</v>
      </c>
      <c r="D67" s="212" t="e">
        <f aca="false">G66</f>
        <v>#REF!</v>
      </c>
      <c r="E67" s="357" t="n">
        <v>0</v>
      </c>
      <c r="F67" s="212" t="e">
        <f aca="false">-HLOOKUP(C67,idc_table1,IDC!$AP$28+1)+HLOOKUP(C66,idc_table1,IDC!$AP$28+1)</f>
        <v>#REF!</v>
      </c>
      <c r="G67" s="212" t="e">
        <f aca="false">SUM(D67:F67)</f>
        <v>#REF!</v>
      </c>
      <c r="H67" s="76" t="e">
        <f aca="false">$B$24*(D67+E67)/12</f>
        <v>#REF!</v>
      </c>
      <c r="I67" s="30"/>
    </row>
    <row r="68" customFormat="false" ht="12.75" hidden="false" customHeight="false" outlineLevel="0" collapsed="false">
      <c r="A68" s="29"/>
      <c r="B68" s="30"/>
      <c r="C68" s="30" t="n">
        <f aca="false">C67+1</f>
        <v>45</v>
      </c>
      <c r="D68" s="212" t="e">
        <f aca="false">G67</f>
        <v>#REF!</v>
      </c>
      <c r="E68" s="357" t="n">
        <v>0</v>
      </c>
      <c r="F68" s="212" t="e">
        <f aca="false">-HLOOKUP(C68,idc_table1,IDC!$AP$28+1)+HLOOKUP(C67,idc_table1,IDC!$AP$28+1)</f>
        <v>#REF!</v>
      </c>
      <c r="G68" s="212" t="e">
        <f aca="false">SUM(D68:F68)</f>
        <v>#REF!</v>
      </c>
      <c r="H68" s="76" t="e">
        <f aca="false">$B$24*(D68+E68)/12</f>
        <v>#REF!</v>
      </c>
      <c r="I68" s="30"/>
    </row>
    <row r="69" customFormat="false" ht="12.75" hidden="false" customHeight="false" outlineLevel="0" collapsed="false">
      <c r="A69" s="29"/>
      <c r="B69" s="30"/>
      <c r="C69" s="30" t="n">
        <f aca="false">C68+1</f>
        <v>46</v>
      </c>
      <c r="D69" s="212" t="e">
        <f aca="false">G68</f>
        <v>#REF!</v>
      </c>
      <c r="E69" s="357" t="n">
        <v>0</v>
      </c>
      <c r="F69" s="212" t="e">
        <f aca="false">-HLOOKUP(C69,idc_table1,IDC!$AP$28+1)+HLOOKUP(C68,idc_table1,IDC!$AP$28+1)</f>
        <v>#REF!</v>
      </c>
      <c r="G69" s="212" t="e">
        <f aca="false">SUM(D69:F69)</f>
        <v>#REF!</v>
      </c>
      <c r="H69" s="76" t="e">
        <f aca="false">$B$24*(D69+E69)/12</f>
        <v>#REF!</v>
      </c>
      <c r="I69" s="30"/>
    </row>
    <row r="70" customFormat="false" ht="12.75" hidden="false" customHeight="false" outlineLevel="0" collapsed="false">
      <c r="A70" s="29"/>
      <c r="B70" s="30"/>
      <c r="C70" s="30" t="n">
        <f aca="false">C69+1</f>
        <v>47</v>
      </c>
      <c r="D70" s="212" t="e">
        <f aca="false">G69</f>
        <v>#REF!</v>
      </c>
      <c r="E70" s="357" t="n">
        <v>0</v>
      </c>
      <c r="F70" s="212" t="e">
        <f aca="false">-HLOOKUP(C70,idc_table1,IDC!$AP$28+1)+HLOOKUP(C69,idc_table1,IDC!$AP$28+1)</f>
        <v>#REF!</v>
      </c>
      <c r="G70" s="212" t="e">
        <f aca="false">SUM(D70:F70)</f>
        <v>#REF!</v>
      </c>
      <c r="H70" s="76" t="e">
        <f aca="false">$B$24*(D70+E70)/12</f>
        <v>#REF!</v>
      </c>
      <c r="I70" s="30"/>
    </row>
    <row r="71" customFormat="false" ht="12.75" hidden="false" customHeight="false" outlineLevel="0" collapsed="false">
      <c r="A71" s="29"/>
      <c r="B71" s="30"/>
      <c r="C71" s="30" t="n">
        <f aca="false">C70+1</f>
        <v>48</v>
      </c>
      <c r="D71" s="212" t="e">
        <f aca="false">G70</f>
        <v>#REF!</v>
      </c>
      <c r="E71" s="357" t="n">
        <v>0</v>
      </c>
      <c r="F71" s="212" t="e">
        <f aca="false">-HLOOKUP(C71,idc_table1,IDC!$AP$28+1)+HLOOKUP(C70,idc_table1,IDC!$AP$28+1)</f>
        <v>#REF!</v>
      </c>
      <c r="G71" s="212" t="e">
        <f aca="false">SUM(D71:F71)</f>
        <v>#REF!</v>
      </c>
      <c r="H71" s="76" t="e">
        <f aca="false">$B$24*(D71+E71)/12</f>
        <v>#REF!</v>
      </c>
      <c r="I71" s="30"/>
    </row>
    <row r="72" customFormat="false" ht="12.75" hidden="false" customHeight="false" outlineLevel="0" collapsed="false">
      <c r="A72" s="29"/>
      <c r="B72" s="30"/>
      <c r="C72" s="30" t="n">
        <f aca="false">C71+1</f>
        <v>49</v>
      </c>
      <c r="D72" s="212" t="e">
        <f aca="false">G71</f>
        <v>#REF!</v>
      </c>
      <c r="E72" s="357" t="n">
        <v>0</v>
      </c>
      <c r="F72" s="212" t="e">
        <f aca="false">-HLOOKUP(C72,idc_table1,IDC!$AP$28+1)+HLOOKUP(C71,idc_table1,IDC!$AP$28+1)</f>
        <v>#REF!</v>
      </c>
      <c r="G72" s="212" t="e">
        <f aca="false">SUM(D72:F72)</f>
        <v>#REF!</v>
      </c>
      <c r="H72" s="76" t="e">
        <f aca="false">$B$24*(D72+E72)/12</f>
        <v>#REF!</v>
      </c>
      <c r="I72" s="30"/>
    </row>
    <row r="73" customFormat="false" ht="12.75" hidden="false" customHeight="false" outlineLevel="0" collapsed="false">
      <c r="A73" s="29"/>
      <c r="B73" s="30"/>
      <c r="C73" s="30" t="n">
        <f aca="false">C72+1</f>
        <v>50</v>
      </c>
      <c r="D73" s="212" t="e">
        <f aca="false">G72</f>
        <v>#REF!</v>
      </c>
      <c r="E73" s="357" t="n">
        <v>0</v>
      </c>
      <c r="F73" s="212" t="e">
        <f aca="false">-HLOOKUP(C73,idc_table1,IDC!$AP$28+1)+HLOOKUP(C72,idc_table1,IDC!$AP$28+1)</f>
        <v>#REF!</v>
      </c>
      <c r="G73" s="212" t="e">
        <f aca="false">SUM(D73:F73)</f>
        <v>#REF!</v>
      </c>
      <c r="H73" s="76" t="e">
        <f aca="false">$B$24*(D73+E73)/12</f>
        <v>#REF!</v>
      </c>
      <c r="I73" s="30"/>
    </row>
    <row r="74" customFormat="false" ht="12.75" hidden="false" customHeight="false" outlineLevel="0" collapsed="false">
      <c r="A74" s="29"/>
      <c r="B74" s="30"/>
      <c r="C74" s="30" t="n">
        <f aca="false">C73+1</f>
        <v>51</v>
      </c>
      <c r="D74" s="212" t="e">
        <f aca="false">G73</f>
        <v>#REF!</v>
      </c>
      <c r="E74" s="357" t="n">
        <v>0</v>
      </c>
      <c r="F74" s="212" t="e">
        <f aca="false">-HLOOKUP(C74,idc_table1,IDC!$AP$28+1)+HLOOKUP(C73,idc_table1,IDC!$AP$28+1)</f>
        <v>#REF!</v>
      </c>
      <c r="G74" s="212" t="e">
        <f aca="false">SUM(D74:F74)</f>
        <v>#REF!</v>
      </c>
      <c r="H74" s="76" t="e">
        <f aca="false">$B$24*(D74+E74)/12</f>
        <v>#REF!</v>
      </c>
      <c r="I74" s="30"/>
    </row>
    <row r="75" customFormat="false" ht="12.75" hidden="false" customHeight="false" outlineLevel="0" collapsed="false">
      <c r="A75" s="29"/>
      <c r="B75" s="30"/>
      <c r="C75" s="30" t="n">
        <f aca="false">C74+1</f>
        <v>52</v>
      </c>
      <c r="D75" s="212" t="e">
        <f aca="false">G74</f>
        <v>#REF!</v>
      </c>
      <c r="E75" s="357" t="n">
        <v>0</v>
      </c>
      <c r="F75" s="212" t="e">
        <f aca="false">-HLOOKUP(C75,idc_table1,IDC!$AP$28+1)+HLOOKUP(C74,idc_table1,IDC!$AP$28+1)</f>
        <v>#REF!</v>
      </c>
      <c r="G75" s="212" t="e">
        <f aca="false">SUM(D75:F75)</f>
        <v>#REF!</v>
      </c>
      <c r="H75" s="76" t="e">
        <f aca="false">$B$24*(D75+E75)/12</f>
        <v>#REF!</v>
      </c>
      <c r="I75" s="30"/>
    </row>
    <row r="76" customFormat="false" ht="12.75" hidden="false" customHeight="false" outlineLevel="0" collapsed="false">
      <c r="A76" s="29"/>
      <c r="B76" s="30"/>
      <c r="C76" s="30" t="n">
        <f aca="false">C75+1</f>
        <v>53</v>
      </c>
      <c r="D76" s="212" t="e">
        <f aca="false">G75</f>
        <v>#REF!</v>
      </c>
      <c r="E76" s="357" t="n">
        <v>0</v>
      </c>
      <c r="F76" s="212" t="e">
        <f aca="false">-HLOOKUP(C76,idc_table1,IDC!$AP$28+1)+HLOOKUP(C75,idc_table1,IDC!$AP$28+1)</f>
        <v>#REF!</v>
      </c>
      <c r="G76" s="212" t="e">
        <f aca="false">SUM(D76:F76)</f>
        <v>#REF!</v>
      </c>
      <c r="H76" s="76" t="e">
        <f aca="false">$B$24*(D76+E76)/12</f>
        <v>#REF!</v>
      </c>
      <c r="I76" s="30"/>
    </row>
    <row r="77" customFormat="false" ht="12.75" hidden="false" customHeight="false" outlineLevel="0" collapsed="false">
      <c r="A77" s="29"/>
      <c r="B77" s="30"/>
      <c r="C77" s="30" t="n">
        <f aca="false">C76+1</f>
        <v>54</v>
      </c>
      <c r="D77" s="212" t="e">
        <f aca="false">G76</f>
        <v>#REF!</v>
      </c>
      <c r="E77" s="357" t="n">
        <v>0</v>
      </c>
      <c r="F77" s="212" t="e">
        <f aca="false">-HLOOKUP(C77,idc_table1,IDC!$AP$28+1)+HLOOKUP(C76,idc_table1,IDC!$AP$28+1)</f>
        <v>#REF!</v>
      </c>
      <c r="G77" s="212" t="e">
        <f aca="false">SUM(D77:F77)</f>
        <v>#REF!</v>
      </c>
      <c r="H77" s="76" t="e">
        <f aca="false">$B$24*(D77+E77)/12</f>
        <v>#REF!</v>
      </c>
      <c r="I77" s="30"/>
    </row>
    <row r="78" customFormat="false" ht="12.75" hidden="false" customHeight="false" outlineLevel="0" collapsed="false">
      <c r="A78" s="29"/>
      <c r="B78" s="30"/>
      <c r="C78" s="30" t="n">
        <f aca="false">C77+1</f>
        <v>55</v>
      </c>
      <c r="D78" s="212" t="e">
        <f aca="false">G77</f>
        <v>#REF!</v>
      </c>
      <c r="E78" s="357" t="n">
        <v>0</v>
      </c>
      <c r="F78" s="212" t="e">
        <f aca="false">-HLOOKUP(C78,idc_table1,IDC!$AP$28+1)+HLOOKUP(C77,idc_table1,IDC!$AP$28+1)</f>
        <v>#REF!</v>
      </c>
      <c r="G78" s="212" t="e">
        <f aca="false">SUM(D78:F78)</f>
        <v>#REF!</v>
      </c>
      <c r="H78" s="76" t="e">
        <f aca="false">$B$24*(D78+E78)/12</f>
        <v>#REF!</v>
      </c>
      <c r="I78" s="30"/>
    </row>
    <row r="79" customFormat="false" ht="12.75" hidden="false" customHeight="false" outlineLevel="0" collapsed="false">
      <c r="A79" s="29"/>
      <c r="B79" s="30"/>
      <c r="C79" s="30" t="n">
        <f aca="false">C78+1</f>
        <v>56</v>
      </c>
      <c r="D79" s="212" t="e">
        <f aca="false">G78</f>
        <v>#REF!</v>
      </c>
      <c r="E79" s="357" t="n">
        <v>0</v>
      </c>
      <c r="F79" s="212" t="e">
        <f aca="false">-HLOOKUP(C79,idc_table1,IDC!$AP$28+1)+HLOOKUP(C78,idc_table1,IDC!$AP$28+1)</f>
        <v>#REF!</v>
      </c>
      <c r="G79" s="212" t="e">
        <f aca="false">SUM(D79:F79)</f>
        <v>#REF!</v>
      </c>
      <c r="H79" s="76" t="e">
        <f aca="false">$B$24*(D79+E79)/12</f>
        <v>#REF!</v>
      </c>
      <c r="I79" s="30"/>
    </row>
    <row r="80" customFormat="false" ht="12.75" hidden="false" customHeight="false" outlineLevel="0" collapsed="false">
      <c r="A80" s="29"/>
      <c r="B80" s="30"/>
      <c r="C80" s="30" t="n">
        <f aca="false">C79+1</f>
        <v>57</v>
      </c>
      <c r="D80" s="212" t="e">
        <f aca="false">G79</f>
        <v>#REF!</v>
      </c>
      <c r="E80" s="357" t="n">
        <v>0</v>
      </c>
      <c r="F80" s="212" t="e">
        <f aca="false">-HLOOKUP(C80,idc_table1,IDC!$AP$28+1)+HLOOKUP(C79,idc_table1,IDC!$AP$28+1)</f>
        <v>#REF!</v>
      </c>
      <c r="G80" s="212" t="e">
        <f aca="false">SUM(D80:F80)</f>
        <v>#REF!</v>
      </c>
      <c r="H80" s="76" t="e">
        <f aca="false">$B$24*(D80+E80)/12</f>
        <v>#REF!</v>
      </c>
      <c r="I80" s="30"/>
    </row>
    <row r="81" customFormat="false" ht="12.75" hidden="false" customHeight="false" outlineLevel="0" collapsed="false">
      <c r="A81" s="29"/>
      <c r="B81" s="30"/>
      <c r="C81" s="30" t="n">
        <f aca="false">C80+1</f>
        <v>58</v>
      </c>
      <c r="D81" s="212" t="e">
        <f aca="false">G80</f>
        <v>#REF!</v>
      </c>
      <c r="E81" s="357" t="n">
        <v>0</v>
      </c>
      <c r="F81" s="212" t="e">
        <f aca="false">-HLOOKUP(C81,idc_table1,IDC!$AP$28+1)+HLOOKUP(C80,idc_table1,IDC!$AP$28+1)</f>
        <v>#REF!</v>
      </c>
      <c r="G81" s="212" t="e">
        <f aca="false">SUM(D81:F81)</f>
        <v>#REF!</v>
      </c>
      <c r="H81" s="76" t="e">
        <f aca="false">$B$24*(D81+E81)/12</f>
        <v>#REF!</v>
      </c>
      <c r="I81" s="30"/>
    </row>
    <row r="82" customFormat="false" ht="12.75" hidden="false" customHeight="false" outlineLevel="0" collapsed="false">
      <c r="A82" s="29"/>
      <c r="B82" s="30"/>
      <c r="C82" s="30" t="n">
        <f aca="false">C81+1</f>
        <v>59</v>
      </c>
      <c r="D82" s="212" t="e">
        <f aca="false">G81</f>
        <v>#REF!</v>
      </c>
      <c r="E82" s="357" t="n">
        <v>0</v>
      </c>
      <c r="F82" s="212" t="e">
        <f aca="false">-HLOOKUP(C82,idc_table1,IDC!$AP$28+1)+HLOOKUP(C81,idc_table1,IDC!$AP$28+1)</f>
        <v>#REF!</v>
      </c>
      <c r="G82" s="212" t="e">
        <f aca="false">SUM(D82:F82)</f>
        <v>#REF!</v>
      </c>
      <c r="H82" s="76" t="e">
        <f aca="false">$B$24*(D82+E82)/12</f>
        <v>#REF!</v>
      </c>
      <c r="I82" s="30"/>
    </row>
    <row r="83" customFormat="false" ht="13.5" hidden="false" customHeight="false" outlineLevel="0" collapsed="false">
      <c r="A83" s="29"/>
      <c r="B83" s="30"/>
      <c r="C83" s="30" t="n">
        <f aca="false">C82+1</f>
        <v>60</v>
      </c>
      <c r="D83" s="212" t="e">
        <f aca="false">G82</f>
        <v>#REF!</v>
      </c>
      <c r="E83" s="357" t="n">
        <v>0</v>
      </c>
      <c r="F83" s="212" t="e">
        <f aca="false">-HLOOKUP(C83,idc_table1,IDC!$AP$28+1)+HLOOKUP(C82,idc_table1,IDC!$AP$28+1)</f>
        <v>#REF!</v>
      </c>
      <c r="G83" s="212" t="e">
        <f aca="false">SUM(D83:F83)</f>
        <v>#REF!</v>
      </c>
      <c r="H83" s="76" t="e">
        <f aca="false">$B$24*(D83+E83)/12</f>
        <v>#REF!</v>
      </c>
      <c r="I83" s="30"/>
    </row>
    <row r="84" customFormat="false" ht="14.25" hidden="false" customHeight="false" outlineLevel="0" collapsed="false">
      <c r="A84" s="406"/>
      <c r="B84" s="337"/>
      <c r="C84" s="337"/>
      <c r="D84" s="337"/>
      <c r="E84" s="407" t="e">
        <f aca="false">SUM(E24:E83)</f>
        <v>#REF!</v>
      </c>
      <c r="F84" s="407" t="e">
        <f aca="false">SUM(F24:F83)</f>
        <v>#REF!</v>
      </c>
      <c r="G84" s="337"/>
      <c r="H84" s="408" t="e">
        <f aca="false">SUM(H24:H83)</f>
        <v>#REF!</v>
      </c>
    </row>
    <row r="85" customFormat="false" ht="13.5" hidden="false" customHeight="false" outlineLevel="0" collapsed="false"/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N31" activeCellId="0" sqref="N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25.13"/>
    <col collapsed="false" customWidth="false" hidden="false" outlineLevel="0" max="25" min="3" style="1" width="9.14"/>
    <col collapsed="false" customWidth="true" hidden="false" outlineLevel="0" max="31" min="26" style="1" width="8.99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2" t="s">
        <v>370</v>
      </c>
      <c r="B1" s="318"/>
      <c r="C1" s="268"/>
      <c r="D1" s="0"/>
    </row>
    <row r="2" customFormat="false" ht="15.75" hidden="false" customHeight="false" outlineLevel="0" collapsed="false">
      <c r="A2" s="188" t="n">
        <f aca="false">ASS!A4</f>
        <v>0</v>
      </c>
      <c r="B2" s="70"/>
      <c r="C2" s="269"/>
      <c r="D2" s="0"/>
    </row>
    <row r="3" customFormat="false" ht="15.75" hidden="false" customHeight="false" outlineLevel="0" collapsed="false">
      <c r="A3" s="189" t="str">
        <f aca="false">ASS!A5</f>
        <v>BASE MODEL</v>
      </c>
      <c r="B3" s="319"/>
      <c r="C3" s="270"/>
      <c r="D3" s="0"/>
      <c r="F3" s="212" t="s">
        <v>371</v>
      </c>
      <c r="G3" s="409" t="s">
        <v>372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410"/>
      <c r="B5" s="361"/>
      <c r="C5" s="411" t="s">
        <v>373</v>
      </c>
      <c r="D5" s="411" t="s">
        <v>374</v>
      </c>
      <c r="E5" s="412" t="s">
        <v>375</v>
      </c>
    </row>
    <row r="6" customFormat="false" ht="12.75" hidden="false" customHeight="false" outlineLevel="0" collapsed="false">
      <c r="A6" s="413" t="s">
        <v>376</v>
      </c>
      <c r="B6" s="30"/>
      <c r="C6" s="212" t="e">
        <f aca="false">COST</f>
        <v>#REF!</v>
      </c>
      <c r="D6" s="212" t="e">
        <f aca="false">C6</f>
        <v>#REF!</v>
      </c>
      <c r="E6" s="414" t="e">
        <f aca="false">D6</f>
        <v>#REF!</v>
      </c>
    </row>
    <row r="7" customFormat="false" ht="13.5" hidden="false" customHeight="false" outlineLevel="0" collapsed="false">
      <c r="A7" s="413" t="s">
        <v>377</v>
      </c>
      <c r="B7" s="30"/>
      <c r="C7" s="212" t="e">
        <f aca="false">-#REF!-#REF!-ASS!R48</f>
        <v>#REF!</v>
      </c>
      <c r="D7" s="212" t="e">
        <f aca="false">C7</f>
        <v>#REF!</v>
      </c>
      <c r="E7" s="414" t="e">
        <f aca="false">D7</f>
        <v>#REF!</v>
      </c>
    </row>
    <row r="8" customFormat="false" ht="12.75" hidden="false" customHeight="false" outlineLevel="0" collapsed="false">
      <c r="A8" s="413" t="s">
        <v>378</v>
      </c>
      <c r="B8" s="30"/>
      <c r="C8" s="212" t="n">
        <f aca="false">-SPARES</f>
        <v>-0</v>
      </c>
      <c r="D8" s="212" t="n">
        <f aca="false">C8</f>
        <v>-0</v>
      </c>
      <c r="E8" s="212" t="n">
        <f aca="false">D8</f>
        <v>-0</v>
      </c>
      <c r="F8" s="415" t="s">
        <v>379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06"/>
    </row>
    <row r="9" customFormat="false" ht="13.5" hidden="false" customHeight="false" outlineLevel="0" collapsed="false">
      <c r="A9" s="413" t="s">
        <v>380</v>
      </c>
      <c r="B9" s="30"/>
      <c r="C9" s="215" t="n">
        <f aca="false">-WCAP</f>
        <v>-0</v>
      </c>
      <c r="D9" s="215" t="n">
        <f aca="false">C9</f>
        <v>-0</v>
      </c>
      <c r="E9" s="416" t="n">
        <f aca="false">D9</f>
        <v>-0</v>
      </c>
      <c r="F9" s="417" t="n">
        <v>0.0375</v>
      </c>
      <c r="G9" s="418" t="n">
        <v>0.07219</v>
      </c>
      <c r="H9" s="418" t="n">
        <v>0.06667</v>
      </c>
      <c r="I9" s="418" t="n">
        <v>0.06177</v>
      </c>
      <c r="J9" s="418" t="n">
        <v>0.05713</v>
      </c>
      <c r="K9" s="418" t="n">
        <v>0.05285</v>
      </c>
      <c r="L9" s="418" t="n">
        <v>0.04888</v>
      </c>
      <c r="M9" s="418" t="n">
        <v>0.04522</v>
      </c>
      <c r="N9" s="418" t="n">
        <v>0.04462</v>
      </c>
      <c r="O9" s="418" t="n">
        <v>0.04461</v>
      </c>
      <c r="P9" s="418" t="n">
        <v>0.04462</v>
      </c>
      <c r="Q9" s="418" t="n">
        <v>0.04461</v>
      </c>
      <c r="R9" s="418" t="n">
        <v>0.04462</v>
      </c>
      <c r="S9" s="418" t="n">
        <v>0.04461</v>
      </c>
      <c r="T9" s="418" t="n">
        <v>0.04462</v>
      </c>
      <c r="U9" s="418" t="n">
        <v>0.04461</v>
      </c>
      <c r="V9" s="418" t="n">
        <v>0.04462</v>
      </c>
      <c r="W9" s="418" t="n">
        <v>0.04461</v>
      </c>
      <c r="X9" s="418" t="n">
        <v>0.04462</v>
      </c>
      <c r="Y9" s="418" t="n">
        <v>0.04461</v>
      </c>
      <c r="Z9" s="418" t="n">
        <v>0.02231</v>
      </c>
      <c r="AA9" s="419"/>
      <c r="AB9" s="419"/>
      <c r="AC9" s="419"/>
      <c r="AD9" s="419"/>
      <c r="AE9" s="420"/>
    </row>
    <row r="10" customFormat="false" ht="13.5" hidden="false" customHeight="false" outlineLevel="0" collapsed="false">
      <c r="A10" s="421" t="s">
        <v>381</v>
      </c>
      <c r="B10" s="422"/>
      <c r="C10" s="423" t="e">
        <f aca="false">SUM(C6:C9)</f>
        <v>#REF!</v>
      </c>
      <c r="D10" s="423" t="e">
        <f aca="false">SUM(D6:D9)</f>
        <v>#REF!</v>
      </c>
      <c r="E10" s="424" t="e">
        <f aca="false">SUM(E6:E9)</f>
        <v>#REF!</v>
      </c>
      <c r="F10" s="425" t="n">
        <f aca="false">F14/12*F9</f>
        <v>0.021875</v>
      </c>
      <c r="G10" s="425" t="n">
        <f aca="false">IF($F$14=12,G9,(12-$F$14)/12*F9+($F$14)/12*G9)</f>
        <v>0.0577358333333333</v>
      </c>
      <c r="H10" s="425" t="n">
        <f aca="false">IF($F$14=12,H9,(12-$F$14)/12*G9+($F$14)/12*H9)</f>
        <v>0.06897</v>
      </c>
      <c r="I10" s="425" t="n">
        <f aca="false">IF($F$14=12,I9,(12-$F$14)/12*H9+($F$14)/12*I9)</f>
        <v>0.0638116666666667</v>
      </c>
      <c r="J10" s="425" t="n">
        <f aca="false">IF($F$14=12,J9,(12-$F$14)/12*I9+($F$14)/12*J9)</f>
        <v>0.0590633333333333</v>
      </c>
      <c r="K10" s="425" t="n">
        <f aca="false">IF($F$14=12,K9,(12-$F$14)/12*J9+($F$14)/12*K9)</f>
        <v>0.0546333333333333</v>
      </c>
      <c r="L10" s="425" t="n">
        <f aca="false">IF($F$14=12,L9,(12-$F$14)/12*K9+($F$14)/12*L9)</f>
        <v>0.0505341666666667</v>
      </c>
      <c r="M10" s="425" t="n">
        <f aca="false">IF($F$14=12,M9,(12-$F$14)/12*L9+($F$14)/12*M9)</f>
        <v>0.046745</v>
      </c>
      <c r="N10" s="425" t="n">
        <f aca="false">IF($F$14=12,N9,(12-$F$14)/12*M9+($F$14)/12*N9)</f>
        <v>0.04487</v>
      </c>
      <c r="O10" s="425" t="n">
        <f aca="false">IF($F$14=12,O9,(12-$F$14)/12*N9+($F$14)/12*O9)</f>
        <v>0.0446141666666667</v>
      </c>
      <c r="P10" s="425" t="n">
        <f aca="false">IF($F$14=12,P9,(12-$F$14)/12*O9+($F$14)/12*P9)</f>
        <v>0.0446158333333333</v>
      </c>
      <c r="Q10" s="425" t="n">
        <f aca="false">IF($F$14=12,Q9,(12-$F$14)/12*P9+($F$14)/12*Q9)</f>
        <v>0.0446141666666667</v>
      </c>
      <c r="R10" s="425" t="n">
        <f aca="false">IF($F$14=12,R9,(12-$F$14)/12*Q9+($F$14)/12*R9)</f>
        <v>0.0446158333333333</v>
      </c>
      <c r="S10" s="425" t="n">
        <f aca="false">IF($F$14=12,S9,(12-$F$14)/12*R9+($F$14)/12*S9)</f>
        <v>0.0446141666666667</v>
      </c>
      <c r="T10" s="425" t="n">
        <f aca="false">IF($F$14=12,T9,(12-$F$14)/12*S9+($F$14)/12*T9)</f>
        <v>0.0446158333333333</v>
      </c>
      <c r="U10" s="425" t="n">
        <f aca="false">IF($F$14=12,U9,(12-$F$14)/12*T9+($F$14)/12*U9)</f>
        <v>0.0446141666666667</v>
      </c>
      <c r="V10" s="425" t="n">
        <f aca="false">IF($F$14=12,V9,(12-$F$14)/12*U9+($F$14)/12*V9)</f>
        <v>0.0446158333333333</v>
      </c>
      <c r="W10" s="425" t="n">
        <f aca="false">IF($F$14=12,W9,(12-$F$14)/12*V9+($F$14)/12*W9)</f>
        <v>0.0446141666666667</v>
      </c>
      <c r="X10" s="425" t="n">
        <f aca="false">IF($F$14=12,X9,(12-$F$14)/12*W9+($F$14)/12*X9)</f>
        <v>0.0446158333333333</v>
      </c>
      <c r="Y10" s="425" t="n">
        <f aca="false">IF($F$14=12,Y9,(12-$F$14)/12*X9+($F$14)/12*Y9)</f>
        <v>0.0446141666666667</v>
      </c>
      <c r="Z10" s="425" t="n">
        <f aca="false">IF($F$14=12,Z9,(12-$F$14)/12*Y9+($F$14)/12*Z9)</f>
        <v>0.0316016666666667</v>
      </c>
      <c r="AA10" s="425" t="n">
        <f aca="false">1-(SUM(F10:Z10))</f>
        <v>0.00939583333333338</v>
      </c>
      <c r="AB10" s="266" t="n">
        <v>0</v>
      </c>
      <c r="AC10" s="266" t="n">
        <v>0</v>
      </c>
      <c r="AD10" s="266" t="n">
        <v>0</v>
      </c>
      <c r="AE10" s="266" t="n">
        <v>0</v>
      </c>
    </row>
    <row r="11" customFormat="false" ht="13.5" hidden="false" customHeight="false" outlineLevel="0" collapsed="false">
      <c r="F11" s="425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266"/>
      <c r="AB11" s="266"/>
      <c r="AC11" s="266"/>
      <c r="AD11" s="266"/>
      <c r="AE11" s="266"/>
    </row>
    <row r="12" customFormat="false" ht="12.75" hidden="false" customHeight="false" outlineLevel="0" collapsed="false">
      <c r="A12" s="18" t="s">
        <v>203</v>
      </c>
      <c r="B12" s="15"/>
      <c r="C12" s="15"/>
      <c r="D12" s="15"/>
      <c r="E12" s="15"/>
      <c r="F12" s="15" t="n">
        <v>1</v>
      </c>
      <c r="G12" s="15" t="n">
        <f aca="false">F12+1</f>
        <v>2</v>
      </c>
      <c r="H12" s="15" t="n">
        <f aca="false">G12+1</f>
        <v>3</v>
      </c>
      <c r="I12" s="15" t="n">
        <f aca="false">H12+1</f>
        <v>4</v>
      </c>
      <c r="J12" s="15" t="n">
        <f aca="false">I12+1</f>
        <v>5</v>
      </c>
      <c r="K12" s="15" t="n">
        <f aca="false">J12+1</f>
        <v>6</v>
      </c>
      <c r="L12" s="15" t="n">
        <f aca="false">K12+1</f>
        <v>7</v>
      </c>
      <c r="M12" s="15" t="n">
        <f aca="false">L12+1</f>
        <v>8</v>
      </c>
      <c r="N12" s="15" t="n">
        <f aca="false">M12+1</f>
        <v>9</v>
      </c>
      <c r="O12" s="15" t="n">
        <f aca="false">N12+1</f>
        <v>10</v>
      </c>
      <c r="P12" s="15" t="n">
        <f aca="false">O12+1</f>
        <v>11</v>
      </c>
      <c r="Q12" s="15" t="n">
        <f aca="false">P12+1</f>
        <v>12</v>
      </c>
      <c r="R12" s="15" t="n">
        <f aca="false">Q12+1</f>
        <v>13</v>
      </c>
      <c r="S12" s="15" t="n">
        <f aca="false">R12+1</f>
        <v>14</v>
      </c>
      <c r="T12" s="15" t="n">
        <f aca="false">S12+1</f>
        <v>15</v>
      </c>
      <c r="U12" s="15" t="n">
        <f aca="false">T12+1</f>
        <v>16</v>
      </c>
      <c r="V12" s="15" t="n">
        <f aca="false">U12+1</f>
        <v>17</v>
      </c>
      <c r="W12" s="15" t="n">
        <f aca="false">V12+1</f>
        <v>18</v>
      </c>
      <c r="X12" s="15" t="n">
        <f aca="false">W12+1</f>
        <v>19</v>
      </c>
      <c r="Y12" s="15" t="n">
        <f aca="false">X12+1</f>
        <v>20</v>
      </c>
      <c r="Z12" s="15" t="n">
        <f aca="false">Y12+1</f>
        <v>21</v>
      </c>
      <c r="AA12" s="15" t="n">
        <f aca="false">Z12+1</f>
        <v>22</v>
      </c>
      <c r="AB12" s="15" t="n">
        <f aca="false">AA12+1</f>
        <v>23</v>
      </c>
      <c r="AC12" s="15" t="n">
        <f aca="false">AB12+1</f>
        <v>24</v>
      </c>
      <c r="AD12" s="15" t="n">
        <f aca="false">AC12+1</f>
        <v>25</v>
      </c>
      <c r="AE12" s="17" t="n">
        <f aca="false">AD12+1</f>
        <v>26</v>
      </c>
      <c r="AF12" s="194"/>
    </row>
    <row r="13" customFormat="false" ht="12.75" hidden="false" customHeight="false" outlineLevel="0" collapsed="false">
      <c r="A13" s="195" t="s">
        <v>204</v>
      </c>
      <c r="B13" s="30"/>
      <c r="C13" s="30"/>
      <c r="D13" s="30"/>
      <c r="E13" s="30"/>
      <c r="F13" s="426" t="n">
        <f aca="false">CF!D6</f>
        <v>2001</v>
      </c>
      <c r="G13" s="426" t="n">
        <f aca="false">CF!E6</f>
        <v>2002</v>
      </c>
      <c r="H13" s="426" t="n">
        <f aca="false">CF!F6</f>
        <v>2003</v>
      </c>
      <c r="I13" s="426" t="n">
        <f aca="false">CF!G6</f>
        <v>2004</v>
      </c>
      <c r="J13" s="426" t="n">
        <f aca="false">CF!H6</f>
        <v>2005</v>
      </c>
      <c r="K13" s="426" t="n">
        <f aca="false">CF!I6</f>
        <v>2006</v>
      </c>
      <c r="L13" s="426" t="n">
        <f aca="false">CF!J6</f>
        <v>2007</v>
      </c>
      <c r="M13" s="426" t="n">
        <f aca="false">CF!K6</f>
        <v>2008</v>
      </c>
      <c r="N13" s="426" t="n">
        <f aca="false">CF!L6</f>
        <v>2009</v>
      </c>
      <c r="O13" s="426" t="n">
        <f aca="false">CF!M6</f>
        <v>2010</v>
      </c>
      <c r="P13" s="426" t="n">
        <f aca="false">CF!N6</f>
        <v>2011</v>
      </c>
      <c r="Q13" s="426" t="n">
        <f aca="false">CF!O6</f>
        <v>2012</v>
      </c>
      <c r="R13" s="426" t="n">
        <f aca="false">CF!P6</f>
        <v>2013</v>
      </c>
      <c r="S13" s="426" t="n">
        <f aca="false">CF!Q6</f>
        <v>2014</v>
      </c>
      <c r="T13" s="426" t="n">
        <f aca="false">CF!R6</f>
        <v>2015</v>
      </c>
      <c r="U13" s="426" t="n">
        <f aca="false">CF!S6</f>
        <v>2016</v>
      </c>
      <c r="V13" s="426" t="n">
        <f aca="false">CF!T6</f>
        <v>2017</v>
      </c>
      <c r="W13" s="426" t="n">
        <f aca="false">CF!U6</f>
        <v>2018</v>
      </c>
      <c r="X13" s="426" t="n">
        <f aca="false">CF!V6</f>
        <v>2019</v>
      </c>
      <c r="Y13" s="426" t="n">
        <f aca="false">CF!W6</f>
        <v>2020</v>
      </c>
      <c r="Z13" s="426" t="n">
        <f aca="false">CF!X6</f>
        <v>2021</v>
      </c>
      <c r="AA13" s="426" t="n">
        <f aca="false">CF!Y6</f>
        <v>2022</v>
      </c>
      <c r="AB13" s="426" t="n">
        <f aca="false">CF!Z6</f>
        <v>2023</v>
      </c>
      <c r="AC13" s="426" t="n">
        <f aca="false">CF!AA6</f>
        <v>2024</v>
      </c>
      <c r="AD13" s="426" t="n">
        <f aca="false">CF!AB6</f>
        <v>2025</v>
      </c>
      <c r="AE13" s="427" t="n">
        <f aca="false">CF!AC6</f>
        <v>2026</v>
      </c>
      <c r="AF13" s="200" t="s">
        <v>331</v>
      </c>
    </row>
    <row r="14" customFormat="false" ht="12.75" hidden="false" customHeight="false" outlineLevel="0" collapsed="false">
      <c r="A14" s="57" t="s">
        <v>206</v>
      </c>
      <c r="B14" s="58"/>
      <c r="C14" s="58"/>
      <c r="D14" s="58"/>
      <c r="E14" s="58"/>
      <c r="F14" s="58" t="n">
        <f aca="false">CF!D7</f>
        <v>7</v>
      </c>
      <c r="G14" s="58" t="n">
        <f aca="false">CF!E7</f>
        <v>12</v>
      </c>
      <c r="H14" s="58" t="n">
        <f aca="false">CF!F7</f>
        <v>12</v>
      </c>
      <c r="I14" s="58" t="n">
        <f aca="false">CF!G7</f>
        <v>12</v>
      </c>
      <c r="J14" s="58" t="n">
        <f aca="false">CF!H7</f>
        <v>12</v>
      </c>
      <c r="K14" s="58" t="n">
        <f aca="false">CF!I7</f>
        <v>12</v>
      </c>
      <c r="L14" s="58" t="n">
        <f aca="false">CF!J7</f>
        <v>12</v>
      </c>
      <c r="M14" s="58" t="n">
        <f aca="false">CF!K7</f>
        <v>12</v>
      </c>
      <c r="N14" s="58" t="n">
        <f aca="false">CF!L7</f>
        <v>12</v>
      </c>
      <c r="O14" s="58" t="n">
        <f aca="false">CF!M7</f>
        <v>12</v>
      </c>
      <c r="P14" s="58" t="n">
        <f aca="false">CF!N7</f>
        <v>12</v>
      </c>
      <c r="Q14" s="58" t="n">
        <f aca="false">CF!O7</f>
        <v>12</v>
      </c>
      <c r="R14" s="58" t="n">
        <f aca="false">CF!P7</f>
        <v>12</v>
      </c>
      <c r="S14" s="58" t="n">
        <f aca="false">CF!Q7</f>
        <v>12</v>
      </c>
      <c r="T14" s="58" t="n">
        <f aca="false">CF!R7</f>
        <v>12</v>
      </c>
      <c r="U14" s="58" t="n">
        <f aca="false">CF!S7</f>
        <v>12</v>
      </c>
      <c r="V14" s="58" t="n">
        <f aca="false">CF!T7</f>
        <v>12</v>
      </c>
      <c r="W14" s="58" t="n">
        <f aca="false">CF!U7</f>
        <v>12</v>
      </c>
      <c r="X14" s="58" t="n">
        <f aca="false">CF!V7</f>
        <v>12</v>
      </c>
      <c r="Y14" s="58" t="n">
        <f aca="false">CF!W7</f>
        <v>12</v>
      </c>
      <c r="Z14" s="58" t="n">
        <f aca="false">CF!X7</f>
        <v>12</v>
      </c>
      <c r="AA14" s="58" t="n">
        <f aca="false">CF!Y7</f>
        <v>12</v>
      </c>
      <c r="AB14" s="58" t="n">
        <f aca="false">CF!Z7</f>
        <v>12</v>
      </c>
      <c r="AC14" s="58" t="n">
        <f aca="false">CF!AA7</f>
        <v>12</v>
      </c>
      <c r="AD14" s="58" t="n">
        <f aca="false">CF!AB7</f>
        <v>12</v>
      </c>
      <c r="AE14" s="68" t="n">
        <f aca="false">CF!AC7</f>
        <v>0</v>
      </c>
      <c r="AF14" s="202"/>
    </row>
    <row r="15" customFormat="false" ht="12.75" hidden="false" customHeight="false" outlineLevel="0" collapsed="false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customFormat="false" ht="12.75" hidden="false" customHeight="false" outlineLevel="0" collapsed="false">
      <c r="A16" s="367" t="s">
        <v>382</v>
      </c>
      <c r="B16" s="392"/>
      <c r="C16" s="392"/>
      <c r="D16" s="392"/>
      <c r="E16" s="428" t="s">
        <v>383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94"/>
      <c r="AG16" s="30"/>
    </row>
    <row r="17" customFormat="false" ht="12.75" hidden="false" customHeight="false" outlineLevel="0" collapsed="false">
      <c r="A17" s="29" t="s">
        <v>384</v>
      </c>
      <c r="B17" s="30"/>
      <c r="C17" s="30"/>
      <c r="D17" s="30"/>
      <c r="E17" s="200" t="s">
        <v>385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207"/>
      <c r="AG17" s="30"/>
    </row>
    <row r="18" customFormat="false" ht="12.75" hidden="false" customHeight="false" outlineLevel="0" collapsed="false">
      <c r="A18" s="29"/>
      <c r="B18" s="30" t="s">
        <v>71</v>
      </c>
      <c r="C18" s="30"/>
      <c r="D18" s="30"/>
      <c r="E18" s="213" t="n">
        <f aca="false">ASS!I19</f>
        <v>13000</v>
      </c>
      <c r="F18" s="212" t="n">
        <f aca="false">$E$18*F10</f>
        <v>284.375</v>
      </c>
      <c r="G18" s="409" t="n">
        <f aca="false">$E$18*G10</f>
        <v>750.565833333333</v>
      </c>
      <c r="H18" s="212" t="n">
        <f aca="false">$E$18*H10</f>
        <v>896.61</v>
      </c>
      <c r="I18" s="212" t="n">
        <f aca="false">$E$18*I10</f>
        <v>829.551666666667</v>
      </c>
      <c r="J18" s="212" t="n">
        <f aca="false">$E$18*J10</f>
        <v>767.823333333333</v>
      </c>
      <c r="K18" s="212" t="n">
        <f aca="false">$E$18*K10</f>
        <v>710.233333333334</v>
      </c>
      <c r="L18" s="212" t="n">
        <f aca="false">$E$18*L10</f>
        <v>656.944166666667</v>
      </c>
      <c r="M18" s="212" t="n">
        <f aca="false">$E$18*M10</f>
        <v>607.685</v>
      </c>
      <c r="N18" s="212" t="n">
        <f aca="false">$E$18*N10</f>
        <v>583.31</v>
      </c>
      <c r="O18" s="212" t="n">
        <f aca="false">$E$18*O10</f>
        <v>579.984166666667</v>
      </c>
      <c r="P18" s="212" t="n">
        <f aca="false">$E$18*P10</f>
        <v>580.005833333333</v>
      </c>
      <c r="Q18" s="212" t="n">
        <f aca="false">$E$18*Q10</f>
        <v>579.984166666667</v>
      </c>
      <c r="R18" s="212" t="n">
        <f aca="false">$E$18*R10</f>
        <v>580.005833333333</v>
      </c>
      <c r="S18" s="212" t="n">
        <f aca="false">$E$18*S10</f>
        <v>579.984166666667</v>
      </c>
      <c r="T18" s="212" t="n">
        <f aca="false">$E$18*T10</f>
        <v>580.005833333333</v>
      </c>
      <c r="U18" s="212" t="n">
        <f aca="false">$E$18*U10</f>
        <v>579.984166666667</v>
      </c>
      <c r="V18" s="212" t="n">
        <f aca="false">$E$18*V10</f>
        <v>580.005833333333</v>
      </c>
      <c r="W18" s="212" t="n">
        <f aca="false">$E$18*W10</f>
        <v>579.984166666667</v>
      </c>
      <c r="X18" s="212" t="n">
        <f aca="false">$E$18*X10</f>
        <v>580.005833333333</v>
      </c>
      <c r="Y18" s="212" t="n">
        <f aca="false">$E$18*Y10</f>
        <v>579.984166666667</v>
      </c>
      <c r="Z18" s="212" t="n">
        <f aca="false">$E$18*Z10</f>
        <v>410.821666666667</v>
      </c>
      <c r="AA18" s="212" t="n">
        <f aca="false">$E$18*AA10</f>
        <v>122.145833333334</v>
      </c>
      <c r="AB18" s="212" t="n">
        <f aca="false">$E$18*AB10</f>
        <v>0</v>
      </c>
      <c r="AC18" s="212" t="n">
        <f aca="false">$E$18*AC10</f>
        <v>0</v>
      </c>
      <c r="AD18" s="212" t="n">
        <f aca="false">$E$18*AD10</f>
        <v>0</v>
      </c>
      <c r="AE18" s="212" t="n">
        <f aca="false">$E$18*AE10</f>
        <v>0</v>
      </c>
      <c r="AF18" s="213" t="n">
        <f aca="false">SUM(F18:AE18)</f>
        <v>13000</v>
      </c>
      <c r="AG18" s="30"/>
    </row>
    <row r="19" customFormat="false" ht="12.75" hidden="false" customHeight="false" outlineLevel="0" collapsed="false">
      <c r="A19" s="29"/>
      <c r="B19" s="30" t="s">
        <v>75</v>
      </c>
      <c r="C19" s="30"/>
      <c r="D19" s="30"/>
      <c r="E19" s="213" t="n">
        <f aca="false">ASS!$I20</f>
        <v>0</v>
      </c>
      <c r="F19" s="212" t="n">
        <f aca="false">IF(ASS!$J$20=0,0,IF(F12&lt;ASS!$J$20+1,SLN(ASS!$I$20,0,ASS!$J$20)*F14/12,IF(F12=ASS!$J$20+1,SLN(ASS!$I$20,0,ASS!$J$20)*(12-F14)/12,0)))</f>
        <v>0</v>
      </c>
      <c r="G19" s="212" t="n">
        <f aca="false">IF(ASS!$J$20=0,0,IF(G12=TERM,$E$19-SUM($F$19:F19),IF(G12&gt;TERM,0,IF(G12&lt;ASS!$J$20+1,SLN(ASS!$I$20,0,ASS!$J$20)*G14/12,IF(G12=ASS!$J$20+1,SLN(ASS!$I$20,0,ASS!$J$20)*(12-G14)/12,0)))))</f>
        <v>0</v>
      </c>
      <c r="H19" s="212" t="n">
        <f aca="false">IF(ASS!$J$20=0,0,IF(H12=TERM,$E$19-SUM($F$19:G19),IF(H12&gt;TERM,0,IF(H12&lt;ASS!$J$20+1,SLN(ASS!$I$20,0,ASS!$J$20)*H14/12,IF(H12=ASS!$J$20+1,SLN(ASS!$I$20,0,ASS!$J$20)*(12-H14)/12,0)))))</f>
        <v>0</v>
      </c>
      <c r="I19" s="212" t="n">
        <f aca="false">IF(ASS!$J$20=0,0,IF(I12=TERM,$E$19-SUM($F$19:H19),IF(I12&gt;TERM,0,IF(I12&lt;ASS!$J$20+1,SLN(ASS!$I$20,0,ASS!$J$20)*I14/12,IF(I12=ASS!$J$20+1,SLN(ASS!$I$20,0,ASS!$J$20)*(12-I14)/12,0)))))</f>
        <v>0</v>
      </c>
      <c r="J19" s="212" t="n">
        <f aca="false">IF(ASS!$J$20=0,0,IF(J12=TERM,$E$19-SUM($F$19:I19),IF(J12&gt;TERM,0,IF(J12&lt;ASS!$J$20+1,SLN(ASS!$I$20,0,ASS!$J$20)*J14/12,IF(J12=ASS!$J$20+1,SLN(ASS!$I$20,0,ASS!$J$20)*(12-J14)/12,0)))))</f>
        <v>0</v>
      </c>
      <c r="K19" s="212" t="n">
        <f aca="false">IF(ASS!$J$20=0,0,IF(K12=TERM,$E$19-SUM($F$19:J19),IF(K12&gt;TERM,0,IF(K12&lt;ASS!$J$20+1,SLN(ASS!$I$20,0,ASS!$J$20)*K14/12,IF(K12=ASS!$J$20+1,SLN(ASS!$I$20,0,ASS!$J$20)*(12-K14)/12,0)))))</f>
        <v>0</v>
      </c>
      <c r="L19" s="212" t="n">
        <f aca="false">IF(ASS!$J$20=0,0,IF(L12=TERM,$E$19-SUM($F$19:K19),IF(L12&gt;TERM,0,IF(L12&lt;ASS!$J$20+1,SLN(ASS!$I$20,0,ASS!$J$20)*L14/12,IF(L12=ASS!$J$20+1,SLN(ASS!$I$20,0,ASS!$J$20)*(12-L14)/12,0)))))</f>
        <v>0</v>
      </c>
      <c r="M19" s="212" t="n">
        <f aca="false">IF(ASS!$J$20=0,0,IF(M12=TERM,$E$19-SUM($F$19:L19),IF(M12&gt;TERM,0,IF(M12&lt;ASS!$J$20+1,SLN(ASS!$I$20,0,ASS!$J$20)*M14/12,IF(M12=ASS!$J$20+1,SLN(ASS!$I$20,0,ASS!$J$20)*(12-M14)/12,0)))))</f>
        <v>0</v>
      </c>
      <c r="N19" s="212" t="n">
        <f aca="false">IF(ASS!$J$20=0,0,IF(N12=TERM,$E$19-SUM($F$19:M19),IF(N12&gt;TERM,0,IF(N12&lt;ASS!$J$20+1,SLN(ASS!$I$20,0,ASS!$J$20)*N14/12,IF(N12=ASS!$J$20+1,SLN(ASS!$I$20,0,ASS!$J$20)*(12-N14)/12,0)))))</f>
        <v>0</v>
      </c>
      <c r="O19" s="212" t="n">
        <f aca="false">IF(ASS!$J$20=0,0,IF(O12=TERM,$E$19-SUM($F$19:N19),IF(O12&gt;TERM,0,IF(O12&lt;ASS!$J$20+1,SLN(ASS!$I$20,0,ASS!$J$20)*O14/12,IF(O12=ASS!$J$20+1,SLN(ASS!$I$20,0,ASS!$J$20)*(12-O14)/12,0)))))</f>
        <v>0</v>
      </c>
      <c r="P19" s="212" t="n">
        <f aca="false">IF(ASS!$J$20=0,0,IF(P12=TERM,$E$19-SUM($F$19:O19),IF(P12&gt;TERM,0,IF(P12&lt;ASS!$J$20+1,SLN(ASS!$I$20,0,ASS!$J$20)*P14/12,IF(P12=ASS!$J$20+1,SLN(ASS!$I$20,0,ASS!$J$20)*(12-P14)/12,0)))))</f>
        <v>0</v>
      </c>
      <c r="Q19" s="212" t="n">
        <f aca="false">IF(ASS!$J$20=0,0,IF(Q12=TERM,$E$19-SUM($F$19:P19),IF(Q12&gt;TERM,0,IF(Q12&lt;ASS!$J$20+1,SLN(ASS!$I$20,0,ASS!$J$20)*Q14/12,IF(Q12=ASS!$J$20+1,SLN(ASS!$I$20,0,ASS!$J$20)*(12-Q14)/12,0)))))</f>
        <v>0</v>
      </c>
      <c r="R19" s="212" t="n">
        <f aca="false">IF(ASS!$J$20=0,0,IF(R12=TERM,$E$19-SUM($F$19:Q19),IF(R12&gt;TERM,0,IF(R12&lt;ASS!$J$20+1,SLN(ASS!$I$20,0,ASS!$J$20)*R14/12,IF(R12=ASS!$J$20+1,SLN(ASS!$I$20,0,ASS!$J$20)*(12-R14)/12,0)))))</f>
        <v>0</v>
      </c>
      <c r="S19" s="212" t="n">
        <f aca="false">IF(ASS!$J$20=0,0,IF(S12=TERM,$E$19-SUM($F$19:R19),IF(S12&gt;TERM,0,IF(S12&lt;ASS!$J$20+1,SLN(ASS!$I$20,0,ASS!$J$20)*S14/12,IF(S12=ASS!$J$20+1,SLN(ASS!$I$20,0,ASS!$J$20)*(12-S14)/12,0)))))</f>
        <v>0</v>
      </c>
      <c r="T19" s="212" t="n">
        <f aca="false">IF(ASS!$J$20=0,0,IF(T12=TERM,$E$19-SUM($F$19:S19),IF(T12&gt;TERM,0,IF(T12&lt;ASS!$J$20+1,SLN(ASS!$I$20,0,ASS!$J$20)*T14/12,IF(T12=ASS!$J$20+1,SLN(ASS!$I$20,0,ASS!$J$20)*(12-T14)/12,0)))))</f>
        <v>0</v>
      </c>
      <c r="U19" s="212" t="n">
        <f aca="false">IF(ASS!$J$20=0,0,IF(U12=TERM,$E$19-SUM($F$19:T19),IF(U12&gt;TERM,0,IF(U12&lt;ASS!$J$20+1,SLN(ASS!$I$20,0,ASS!$J$20)*U14/12,IF(U12=ASS!$J$20+1,SLN(ASS!$I$20,0,ASS!$J$20)*(12-U14)/12,0)))))</f>
        <v>0</v>
      </c>
      <c r="V19" s="212" t="n">
        <f aca="false">IF(ASS!$J$20=0,0,IF(V12=TERM,$E$19-SUM($F$19:U19),IF(V12&gt;TERM,0,IF(V12&lt;ASS!$J$20+1,SLN(ASS!$I$20,0,ASS!$J$20)*V14/12,IF(V12=ASS!$J$20+1,SLN(ASS!$I$20,0,ASS!$J$20)*(12-V14)/12,0)))))</f>
        <v>0</v>
      </c>
      <c r="W19" s="212" t="n">
        <f aca="false">IF(ASS!$J$20=0,0,IF(W12=TERM,$E$19-SUM($F$19:V19),IF(W12&gt;TERM,0,IF(W12&lt;ASS!$J$20+1,SLN(ASS!$I$20,0,ASS!$J$20)*W14/12,IF(W12=ASS!$J$20+1,SLN(ASS!$I$20,0,ASS!$J$20)*(12-W14)/12,0)))))</f>
        <v>0</v>
      </c>
      <c r="X19" s="212" t="n">
        <f aca="false">IF(ASS!$J$20=0,0,IF(X12=TERM,$E$19-SUM($F$19:W19),IF(X12&gt;TERM,0,IF(X12&lt;ASS!$J$20+1,SLN(ASS!$I$20,0,ASS!$J$20)*X14/12,IF(X12=ASS!$J$20+1,SLN(ASS!$I$20,0,ASS!$J$20)*(12-X14)/12,0)))))</f>
        <v>0</v>
      </c>
      <c r="Y19" s="212" t="n">
        <f aca="false">IF(ASS!$J$20=0,0,IF(Y12=TERM,$E$19-SUM($F$19:X19),IF(Y12&gt;TERM,0,IF(Y12&lt;ASS!$J$20+1,SLN(ASS!$I$20,0,ASS!$J$20)*Y14/12,IF(Y12=ASS!$J$20+1,SLN(ASS!$I$20,0,ASS!$J$20)*(12-Y14)/12,0)))))</f>
        <v>0</v>
      </c>
      <c r="Z19" s="212" t="n">
        <f aca="false">IF(ASS!$J$20=0,0,IF(Z12=TERM,$E$19-SUM($F$19:Y19),IF(Z12&gt;TERM,0,IF(Z12&lt;ASS!$J$20+1,SLN(ASS!$I$20,0,ASS!$J$20)*Z14/12,IF(Z12=ASS!$J$20+1,SLN(ASS!$I$20,0,ASS!$J$20)*(12-Z14)/12,0)))))</f>
        <v>0</v>
      </c>
      <c r="AA19" s="212" t="n">
        <f aca="false">IF(ASS!$J$20=0,0,IF(AA12=TERM,$E$19-SUM($F$19:Z19),IF(AA12&gt;TERM,0,IF(AA12&lt;ASS!$J$20+1,SLN(ASS!$I$20,0,ASS!$J$20)*AA14/12,IF(AA12=ASS!$J$20+1,SLN(ASS!$I$20,0,ASS!$J$20)*(12-AA14)/12,0)))))</f>
        <v>0</v>
      </c>
      <c r="AB19" s="212" t="n">
        <f aca="false">IF(ASS!$J$20=0,0,IF(AB12=TERM,$E$19-SUM($F$19:AA19),IF(AB12&gt;TERM,0,IF(AB12&lt;ASS!$J$20+1,SLN(ASS!$I$20,0,ASS!$J$20)*AB14/12,IF(AB12=ASS!$J$20+1,SLN(ASS!$I$20,0,ASS!$J$20)*(12-AB14)/12,0)))))</f>
        <v>0</v>
      </c>
      <c r="AC19" s="212" t="n">
        <f aca="false">IF(ASS!$J$20=0,0,IF(AC12=TERM,$E$19-SUM($F$19:AB19),IF(AC12&gt;TERM,0,IF(AC12&lt;ASS!$J$20+1,SLN(ASS!$I$20,0,ASS!$J$20)*AC14/12,IF(AC12=ASS!$J$20+1,SLN(ASS!$I$20,0,ASS!$J$20)*(12-AC14)/12,0)))))</f>
        <v>0</v>
      </c>
      <c r="AD19" s="212" t="n">
        <f aca="false">IF(ASS!$J$20=0,0,IF(AD12=TERM,$E$19-SUM($F$19:AC19),IF(AD12&gt;TERM,0,IF(AD12&lt;ASS!$J$20+1,SLN(ASS!$I$20,0,ASS!$J$20)*AD14/12,IF(AD12=ASS!$J$20+1,SLN(ASS!$I$20,0,ASS!$J$20)*(12-AD14)/12,0)))))</f>
        <v>0</v>
      </c>
      <c r="AE19" s="212" t="n">
        <f aca="false">IF(ASS!$J$20=0,0,IF(AE12=TERM,$E$19-SUM($F$19:AD19),IF(AE12&gt;TERM,0,IF(AE12&lt;ASS!$J$20+1,SLN(ASS!$I$20,0,ASS!$J$20)*AE14/12,IF(AE12=ASS!$J$20+1,SLN(ASS!$I$20,0,ASS!$J$20)*(12-AE14)/12,0)))))</f>
        <v>0</v>
      </c>
      <c r="AF19" s="213" t="n">
        <f aca="false">SUM(F19:AE19)</f>
        <v>0</v>
      </c>
      <c r="AG19" s="30"/>
    </row>
    <row r="20" customFormat="false" ht="12.75" hidden="false" customHeight="false" outlineLevel="0" collapsed="false">
      <c r="A20" s="29"/>
      <c r="B20" s="30" t="s">
        <v>81</v>
      </c>
      <c r="C20" s="30"/>
      <c r="D20" s="30"/>
      <c r="E20" s="429" t="n">
        <f aca="false">ASS!$I21</f>
        <v>0</v>
      </c>
      <c r="F20" s="416" t="n">
        <f aca="false">IF(ASS!$J$21=0,0,IF(F12&lt;ASS!$J$21+1,SLN(ASS!$I$21,0,ASS!$J$21)*F14/12,IF(F12=ASS!$J$21+1,SLN(ASS!$I$21,0,ASS!$J$21)*(12-F14)/12,0)))</f>
        <v>0</v>
      </c>
      <c r="G20" s="416" t="n">
        <f aca="false">IF(ASS!$J$21=0,0,IF(G12=TERM,$E$20-SUM($F$20:F20),IF(G12&gt;TERM,0,IF(G12&lt;ASS!$J$21+1,SLN(ASS!$I$21,0,ASS!$J$21)*G14/12,IF(G12=ASS!$J$21+1,SLN(ASS!$I$21,0,ASS!$J$21)*(12-G14)/12,0)))))</f>
        <v>0</v>
      </c>
      <c r="H20" s="416" t="n">
        <f aca="false">IF(ASS!$J$21=0,0,IF(H12=TERM,$E$20-SUM($F$20:G20),IF(H12&gt;TERM,0,IF(H12&lt;ASS!$J$21+1,SLN(ASS!$I$21,0,ASS!$J$21)*H14/12,IF(H12=ASS!$J$21+1,SLN(ASS!$I$21,0,ASS!$J$21)*(12-H14)/12,0)))))</f>
        <v>0</v>
      </c>
      <c r="I20" s="416" t="n">
        <f aca="false">IF(ASS!$J$21=0,0,IF(I12=TERM,$E$20-SUM($F$20:H20),IF(I12&gt;TERM,0,IF(I12&lt;ASS!$J$21+1,SLN(ASS!$I$21,0,ASS!$J$21)*I14/12,IF(I12=ASS!$J$21+1,SLN(ASS!$I$21,0,ASS!$J$21)*(12-I14)/12,0)))))</f>
        <v>0</v>
      </c>
      <c r="J20" s="416" t="n">
        <f aca="false">IF(ASS!$J$21=0,0,IF(J12=TERM,$E$20-SUM($F$20:I20),IF(J12&gt;TERM,0,IF(J12&lt;ASS!$J$21+1,SLN(ASS!$I$21,0,ASS!$J$21)*J14/12,IF(J12=ASS!$J$21+1,SLN(ASS!$I$21,0,ASS!$J$21)*(12-J14)/12,0)))))</f>
        <v>0</v>
      </c>
      <c r="K20" s="416" t="n">
        <f aca="false">IF(ASS!$J$21=0,0,IF(K12=TERM,$E$20-SUM($F$20:J20),IF(K12&gt;TERM,0,IF(K12&lt;ASS!$J$21+1,SLN(ASS!$I$21,0,ASS!$J$21)*K14/12,IF(K12=ASS!$J$21+1,SLN(ASS!$I$21,0,ASS!$J$21)*(12-K14)/12,0)))))</f>
        <v>0</v>
      </c>
      <c r="L20" s="416" t="n">
        <f aca="false">IF(ASS!$J$21=0,0,IF(L12=TERM,$E$20-SUM($F$20:K20),IF(L12&gt;TERM,0,IF(L12&lt;ASS!$J$21+1,SLN(ASS!$I$21,0,ASS!$J$21)*L14/12,IF(L12=ASS!$J$21+1,SLN(ASS!$I$21,0,ASS!$J$21)*(12-L14)/12,0)))))</f>
        <v>0</v>
      </c>
      <c r="M20" s="416" t="n">
        <f aca="false">IF(ASS!$J$21=0,0,IF(M12=TERM,$E$20-SUM($F$20:L20),IF(M12&gt;TERM,0,IF(M12&lt;ASS!$J$21+1,SLN(ASS!$I$21,0,ASS!$J$21)*M14/12,IF(M12=ASS!$J$21+1,SLN(ASS!$I$21,0,ASS!$J$21)*(12-M14)/12,0)))))</f>
        <v>0</v>
      </c>
      <c r="N20" s="416" t="n">
        <f aca="false">IF(ASS!$J$21=0,0,IF(N12=TERM,$E$20-SUM($F$20:M20),IF(N12&gt;TERM,0,IF(N12&lt;ASS!$J$21+1,SLN(ASS!$I$21,0,ASS!$J$21)*N14/12,IF(N12=ASS!$J$21+1,SLN(ASS!$I$21,0,ASS!$J$21)*(12-N14)/12,0)))))</f>
        <v>0</v>
      </c>
      <c r="O20" s="416" t="n">
        <f aca="false">IF(ASS!$J$21=0,0,IF(O12=TERM,$E$20-SUM($F$20:N20),IF(O12&gt;TERM,0,IF(O12&lt;ASS!$J$21+1,SLN(ASS!$I$21,0,ASS!$J$21)*O14/12,IF(O12=ASS!$J$21+1,SLN(ASS!$I$21,0,ASS!$J$21)*(12-O14)/12,0)))))</f>
        <v>0</v>
      </c>
      <c r="P20" s="416" t="n">
        <f aca="false">IF(ASS!$J$21=0,0,IF(P12=TERM,$E$20-SUM($F$20:O20),IF(P12&gt;TERM,0,IF(P12&lt;ASS!$J$21+1,SLN(ASS!$I$21,0,ASS!$J$21)*P14/12,IF(P12=ASS!$J$21+1,SLN(ASS!$I$21,0,ASS!$J$21)*(12-P14)/12,0)))))</f>
        <v>0</v>
      </c>
      <c r="Q20" s="416" t="n">
        <f aca="false">IF(ASS!$J$21=0,0,IF(Q12=TERM,$E$20-SUM($F$20:P20),IF(Q12&gt;TERM,0,IF(Q12&lt;ASS!$J$21+1,SLN(ASS!$I$21,0,ASS!$J$21)*Q14/12,IF(Q12=ASS!$J$21+1,SLN(ASS!$I$21,0,ASS!$J$21)*(12-Q14)/12,0)))))</f>
        <v>0</v>
      </c>
      <c r="R20" s="416" t="n">
        <f aca="false">IF(ASS!$J$21=0,0,IF(R12=TERM,$E$20-SUM($F$20:Q20),IF(R12&gt;TERM,0,IF(R12&lt;ASS!$J$21+1,SLN(ASS!$I$21,0,ASS!$J$21)*R14/12,IF(R12=ASS!$J$21+1,SLN(ASS!$I$21,0,ASS!$J$21)*(12-R14)/12,0)))))</f>
        <v>0</v>
      </c>
      <c r="S20" s="416" t="n">
        <f aca="false">IF(ASS!$J$21=0,0,IF(S12=TERM,$E$20-SUM($F$20:R20),IF(S12&gt;TERM,0,IF(S12&lt;ASS!$J$21+1,SLN(ASS!$I$21,0,ASS!$J$21)*S14/12,IF(S12=ASS!$J$21+1,SLN(ASS!$I$21,0,ASS!$J$21)*(12-S14)/12,0)))))</f>
        <v>0</v>
      </c>
      <c r="T20" s="416" t="n">
        <f aca="false">IF(ASS!$J$21=0,0,IF(T12=TERM,$E$20-SUM($F$20:S20),IF(T12&gt;TERM,0,IF(T12&lt;ASS!$J$21+1,SLN(ASS!$I$21,0,ASS!$J$21)*T14/12,IF(T12=ASS!$J$21+1,SLN(ASS!$I$21,0,ASS!$J$21)*(12-T14)/12,0)))))</f>
        <v>0</v>
      </c>
      <c r="U20" s="416" t="n">
        <f aca="false">IF(ASS!$J$21=0,0,IF(U12=TERM,$E$20-SUM($F$20:T20),IF(U12&gt;TERM,0,IF(U12&lt;ASS!$J$21+1,SLN(ASS!$I$21,0,ASS!$J$21)*U14/12,IF(U12=ASS!$J$21+1,SLN(ASS!$I$21,0,ASS!$J$21)*(12-U14)/12,0)))))</f>
        <v>0</v>
      </c>
      <c r="V20" s="416" t="n">
        <f aca="false">IF(ASS!$J$21=0,0,IF(V12=TERM,$E$20-SUM($F$20:U20),IF(V12&gt;TERM,0,IF(V12&lt;ASS!$J$21+1,SLN(ASS!$I$21,0,ASS!$J$21)*V14/12,IF(V12=ASS!$J$21+1,SLN(ASS!$I$21,0,ASS!$J$21)*(12-V14)/12,0)))))</f>
        <v>0</v>
      </c>
      <c r="W20" s="416" t="n">
        <f aca="false">IF(ASS!$J$21=0,0,IF(W12=TERM,$E$20-SUM($F$20:V20),IF(W12&gt;TERM,0,IF(W12&lt;ASS!$J$21+1,SLN(ASS!$I$21,0,ASS!$J$21)*W14/12,IF(W12=ASS!$J$21+1,SLN(ASS!$I$21,0,ASS!$J$21)*(12-W14)/12,0)))))</f>
        <v>0</v>
      </c>
      <c r="X20" s="416" t="n">
        <f aca="false">IF(ASS!$J$21=0,0,IF(X12=TERM,$E$20-SUM($F$20:W20),IF(X12&gt;TERM,0,IF(X12&lt;ASS!$J$21+1,SLN(ASS!$I$21,0,ASS!$J$21)*X14/12,IF(X12=ASS!$J$21+1,SLN(ASS!$I$21,0,ASS!$J$21)*(12-X14)/12,0)))))</f>
        <v>0</v>
      </c>
      <c r="Y20" s="416" t="n">
        <f aca="false">IF(ASS!$J$21=0,0,IF(Y12=TERM,$E$20-SUM($F$20:X20),IF(Y12&gt;TERM,0,IF(Y12&lt;ASS!$J$21+1,SLN(ASS!$I$21,0,ASS!$J$21)*Y14/12,IF(Y12=ASS!$J$21+1,SLN(ASS!$I$21,0,ASS!$J$21)*(12-Y14)/12,0)))))</f>
        <v>0</v>
      </c>
      <c r="Z20" s="416" t="n">
        <f aca="false">IF(ASS!$J$21=0,0,IF(Z12=TERM,$E$20-SUM($F$20:Y20),IF(Z12&gt;TERM,0,IF(Z12&lt;ASS!$J$21+1,SLN(ASS!$I$21,0,ASS!$J$21)*Z14/12,IF(Z12=ASS!$J$21+1,SLN(ASS!$I$21,0,ASS!$J$21)*(12-Z14)/12,0)))))</f>
        <v>0</v>
      </c>
      <c r="AA20" s="416" t="n">
        <f aca="false">IF(ASS!$J$21=0,0,IF(AA12=TERM,$E$20-SUM($F$20:Z20),IF(AA12&gt;TERM,0,IF(AA12&lt;ASS!$J$21+1,SLN(ASS!$I$21,0,ASS!$J$21)*AA14/12,IF(AA12=ASS!$J$21+1,SLN(ASS!$I$21,0,ASS!$J$21)*(12-AA14)/12,0)))))</f>
        <v>0</v>
      </c>
      <c r="AB20" s="416" t="n">
        <f aca="false">IF(ASS!$J$21=0,0,IF(AB12=TERM,$E$20-SUM($F$20:AA20),IF(AB12&gt;TERM,0,IF(AB12&lt;ASS!$J$21+1,SLN(ASS!$I$21,0,ASS!$J$21)*AB14/12,IF(AB12=ASS!$J$21+1,SLN(ASS!$I$21,0,ASS!$J$21)*(12-AB14)/12,0)))))</f>
        <v>0</v>
      </c>
      <c r="AC20" s="416" t="n">
        <f aca="false">IF(ASS!$J$21=0,0,IF(AC12=TERM,$E$20-SUM($F$20:AB20),IF(AC12&gt;TERM,0,IF(AC12&lt;ASS!$J$21+1,SLN(ASS!$I$21,0,ASS!$J$21)*AC14/12,IF(AC12=ASS!$J$21+1,SLN(ASS!$I$21,0,ASS!$J$21)*(12-AC14)/12,0)))))</f>
        <v>0</v>
      </c>
      <c r="AD20" s="416" t="n">
        <f aca="false">IF(ASS!$J$21=0,0,IF(AD12=TERM,$E$20-SUM($F$20:AC20),IF(AD12&gt;TERM,0,IF(AD12&lt;ASS!$J$21+1,SLN(ASS!$I$21,0,ASS!$J$21)*AD14/12,IF(AD12=ASS!$J$21+1,SLN(ASS!$I$21,0,ASS!$J$21)*(12-AD14)/12,0)))))</f>
        <v>0</v>
      </c>
      <c r="AE20" s="416" t="n">
        <f aca="false">IF(ASS!$J$21=0,0,IF(AE12=TERM,$E$20-SUM($F$20:AD20),IF(AE12&gt;TERM,0,IF(AE12&lt;ASS!$J$21+1,SLN(ASS!$I$21,0,ASS!$J$21)*AE14/12,IF(AE12=ASS!$J$21+1,SLN(ASS!$I$21,0,ASS!$J$21)*(12-AE14)/12,0)))))</f>
        <v>0</v>
      </c>
      <c r="AF20" s="429" t="n">
        <f aca="false">SUM(F20:AE20)</f>
        <v>0</v>
      </c>
      <c r="AG20" s="30"/>
    </row>
    <row r="21" customFormat="false" ht="12.75" hidden="false" customHeight="false" outlineLevel="0" collapsed="false">
      <c r="A21" s="29"/>
      <c r="B21" s="30" t="s">
        <v>386</v>
      </c>
      <c r="C21" s="30" t="s">
        <v>1</v>
      </c>
      <c r="D21" s="30"/>
      <c r="E21" s="213" t="n">
        <f aca="false">SUM(E18:E20)</f>
        <v>13000</v>
      </c>
      <c r="F21" s="212" t="n">
        <f aca="false">SUM(F18:F20)</f>
        <v>284.375</v>
      </c>
      <c r="G21" s="212" t="n">
        <f aca="false">SUM(G18:G20)</f>
        <v>750.565833333333</v>
      </c>
      <c r="H21" s="212" t="n">
        <f aca="false">SUM(H18:H20)</f>
        <v>896.61</v>
      </c>
      <c r="I21" s="212" t="n">
        <f aca="false">SUM(I18:I20)</f>
        <v>829.551666666667</v>
      </c>
      <c r="J21" s="212" t="n">
        <f aca="false">SUM(J18:J20)</f>
        <v>767.823333333333</v>
      </c>
      <c r="K21" s="212" t="n">
        <f aca="false">SUM(K18:K20)</f>
        <v>710.233333333334</v>
      </c>
      <c r="L21" s="212" t="n">
        <f aca="false">SUM(L18:L20)</f>
        <v>656.944166666667</v>
      </c>
      <c r="M21" s="212" t="n">
        <f aca="false">SUM(M18:M20)</f>
        <v>607.685</v>
      </c>
      <c r="N21" s="212" t="n">
        <f aca="false">SUM(N18:N20)</f>
        <v>583.31</v>
      </c>
      <c r="O21" s="212" t="n">
        <f aca="false">SUM(O18:O20)</f>
        <v>579.984166666667</v>
      </c>
      <c r="P21" s="212" t="n">
        <f aca="false">SUM(P18:P20)</f>
        <v>580.005833333333</v>
      </c>
      <c r="Q21" s="212" t="n">
        <f aca="false">SUM(Q18:Q20)</f>
        <v>579.984166666667</v>
      </c>
      <c r="R21" s="212" t="n">
        <f aca="false">SUM(R18:R20)</f>
        <v>580.005833333333</v>
      </c>
      <c r="S21" s="212" t="n">
        <f aca="false">SUM(S18:S20)</f>
        <v>579.984166666667</v>
      </c>
      <c r="T21" s="212" t="n">
        <f aca="false">SUM(T18:T20)</f>
        <v>580.005833333333</v>
      </c>
      <c r="U21" s="212" t="n">
        <f aca="false">SUM(U18:U20)</f>
        <v>579.984166666667</v>
      </c>
      <c r="V21" s="212" t="n">
        <f aca="false">SUM(V18:V20)</f>
        <v>580.005833333333</v>
      </c>
      <c r="W21" s="212" t="n">
        <f aca="false">SUM(W18:W20)</f>
        <v>579.984166666667</v>
      </c>
      <c r="X21" s="212" t="n">
        <f aca="false">SUM(X18:X20)</f>
        <v>580.005833333333</v>
      </c>
      <c r="Y21" s="212" t="n">
        <f aca="false">SUM(Y18:Y20)</f>
        <v>579.984166666667</v>
      </c>
      <c r="Z21" s="212" t="n">
        <f aca="false">SUM(Z18:Z20)</f>
        <v>410.821666666667</v>
      </c>
      <c r="AA21" s="212" t="n">
        <f aca="false">SUM(AA18:AA20)</f>
        <v>122.145833333334</v>
      </c>
      <c r="AB21" s="212" t="n">
        <f aca="false">SUM(AB18:AB20)</f>
        <v>0</v>
      </c>
      <c r="AC21" s="212" t="n">
        <f aca="false">SUM(AC18:AC20)</f>
        <v>0</v>
      </c>
      <c r="AD21" s="212" t="n">
        <f aca="false">SUM(AD18:AD20)</f>
        <v>0</v>
      </c>
      <c r="AE21" s="212" t="n">
        <f aca="false">SUM(AE18:AE20)</f>
        <v>0</v>
      </c>
      <c r="AF21" s="213" t="n">
        <f aca="false">SUM(F21:AE21)</f>
        <v>13000</v>
      </c>
      <c r="AG21" s="30"/>
    </row>
    <row r="22" customFormat="false" ht="12.75" hidden="false" customHeight="false" outlineLevel="0" collapsed="false">
      <c r="A22" s="29"/>
      <c r="B22" s="214" t="s">
        <v>387</v>
      </c>
      <c r="C22" s="30" t="s">
        <v>1</v>
      </c>
      <c r="D22" s="30"/>
      <c r="E22" s="213"/>
      <c r="F22" s="430" t="n">
        <f aca="false">F21</f>
        <v>284.375</v>
      </c>
      <c r="G22" s="430" t="n">
        <f aca="false">F22+G21</f>
        <v>1034.94083333333</v>
      </c>
      <c r="H22" s="430" t="n">
        <f aca="false">G22+H21</f>
        <v>1931.55083333333</v>
      </c>
      <c r="I22" s="430" t="n">
        <f aca="false">H22+I21</f>
        <v>2761.1025</v>
      </c>
      <c r="J22" s="430" t="n">
        <f aca="false">I22+J21</f>
        <v>3528.92583333333</v>
      </c>
      <c r="K22" s="430" t="n">
        <f aca="false">J22+K21</f>
        <v>4239.15916666667</v>
      </c>
      <c r="L22" s="430" t="n">
        <f aca="false">K22+L21</f>
        <v>4896.10333333333</v>
      </c>
      <c r="M22" s="430" t="n">
        <f aca="false">L22+M21</f>
        <v>5503.78833333334</v>
      </c>
      <c r="N22" s="430" t="n">
        <f aca="false">M22+N21</f>
        <v>6087.09833333334</v>
      </c>
      <c r="O22" s="430" t="n">
        <f aca="false">N22+O21</f>
        <v>6667.0825</v>
      </c>
      <c r="P22" s="430" t="n">
        <f aca="false">O22+P21</f>
        <v>7247.08833333334</v>
      </c>
      <c r="Q22" s="430" t="n">
        <f aca="false">P22+Q21</f>
        <v>7827.0725</v>
      </c>
      <c r="R22" s="430" t="n">
        <f aca="false">Q22+R21</f>
        <v>8407.07833333334</v>
      </c>
      <c r="S22" s="430" t="n">
        <f aca="false">R22+S21</f>
        <v>8987.0625</v>
      </c>
      <c r="T22" s="430" t="n">
        <f aca="false">S22+T21</f>
        <v>9567.06833333334</v>
      </c>
      <c r="U22" s="430" t="n">
        <f aca="false">T22+U21</f>
        <v>10147.0525</v>
      </c>
      <c r="V22" s="430" t="n">
        <f aca="false">U22+V21</f>
        <v>10727.0583333333</v>
      </c>
      <c r="W22" s="430" t="n">
        <f aca="false">V22+W21</f>
        <v>11307.0425</v>
      </c>
      <c r="X22" s="430" t="n">
        <f aca="false">W22+X21</f>
        <v>11887.0483333333</v>
      </c>
      <c r="Y22" s="430" t="n">
        <f aca="false">X22+Y21</f>
        <v>12467.0325</v>
      </c>
      <c r="Z22" s="430" t="n">
        <f aca="false">Y22+Z21</f>
        <v>12877.8541666667</v>
      </c>
      <c r="AA22" s="430" t="n">
        <f aca="false">Z22+AA21</f>
        <v>13000</v>
      </c>
      <c r="AB22" s="430" t="n">
        <f aca="false">AA22+AB21</f>
        <v>13000</v>
      </c>
      <c r="AC22" s="430" t="n">
        <f aca="false">AB22+AC21</f>
        <v>13000</v>
      </c>
      <c r="AD22" s="430" t="n">
        <f aca="false">AC22+AD21</f>
        <v>13000</v>
      </c>
      <c r="AE22" s="430" t="n">
        <f aca="false">AD22+AE21</f>
        <v>13000</v>
      </c>
      <c r="AF22" s="213"/>
      <c r="AG22" s="30"/>
    </row>
    <row r="23" customFormat="false" ht="12.75" hidden="false" customHeight="false" outlineLevel="0" collapsed="false">
      <c r="A23" s="29"/>
      <c r="B23" s="30"/>
      <c r="C23" s="30" t="s">
        <v>1</v>
      </c>
      <c r="D23" s="30"/>
      <c r="E23" s="213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3"/>
      <c r="AG23" s="30"/>
    </row>
    <row r="24" customFormat="false" ht="12.75" hidden="false" customHeight="false" outlineLevel="0" collapsed="false">
      <c r="A24" s="29"/>
      <c r="B24" s="30" t="s">
        <v>388</v>
      </c>
      <c r="C24" s="95"/>
      <c r="D24" s="30"/>
      <c r="E24" s="213"/>
      <c r="F24" s="212" t="n">
        <v>0</v>
      </c>
      <c r="G24" s="212" t="n">
        <f aca="false">F27</f>
        <v>12715.625</v>
      </c>
      <c r="H24" s="212" t="n">
        <f aca="false">G27</f>
        <v>11965.0591666667</v>
      </c>
      <c r="I24" s="212" t="n">
        <f aca="false">H27</f>
        <v>11068.4491666667</v>
      </c>
      <c r="J24" s="212" t="n">
        <f aca="false">I27</f>
        <v>10238.8975</v>
      </c>
      <c r="K24" s="212" t="n">
        <f aca="false">J27</f>
        <v>9471.07416666667</v>
      </c>
      <c r="L24" s="212" t="n">
        <f aca="false">K27</f>
        <v>8760.84083333333</v>
      </c>
      <c r="M24" s="212" t="n">
        <f aca="false">L27</f>
        <v>8103.89666666667</v>
      </c>
      <c r="N24" s="212" t="n">
        <f aca="false">M27</f>
        <v>7496.21166666666</v>
      </c>
      <c r="O24" s="212" t="n">
        <f aca="false">N27</f>
        <v>6912.90166666666</v>
      </c>
      <c r="P24" s="212" t="n">
        <f aca="false">O27</f>
        <v>6332.9175</v>
      </c>
      <c r="Q24" s="212" t="n">
        <f aca="false">P27</f>
        <v>5752.91166666666</v>
      </c>
      <c r="R24" s="212" t="n">
        <f aca="false">Q27</f>
        <v>5172.9275</v>
      </c>
      <c r="S24" s="212" t="n">
        <f aca="false">R27</f>
        <v>4592.92166666666</v>
      </c>
      <c r="T24" s="212" t="n">
        <f aca="false">S27</f>
        <v>4012.9375</v>
      </c>
      <c r="U24" s="212" t="n">
        <f aca="false">T27</f>
        <v>3432.93166666666</v>
      </c>
      <c r="V24" s="212" t="n">
        <f aca="false">U27</f>
        <v>2852.9475</v>
      </c>
      <c r="W24" s="212" t="n">
        <f aca="false">V27</f>
        <v>2272.94166666667</v>
      </c>
      <c r="X24" s="212" t="n">
        <f aca="false">W27</f>
        <v>1692.9575</v>
      </c>
      <c r="Y24" s="212" t="n">
        <f aca="false">X27</f>
        <v>1112.95166666666</v>
      </c>
      <c r="Z24" s="212" t="n">
        <f aca="false">Y27</f>
        <v>532.967499999998</v>
      </c>
      <c r="AA24" s="212" t="n">
        <f aca="false">Z27</f>
        <v>122.145833333332</v>
      </c>
      <c r="AB24" s="212" t="n">
        <f aca="false">AA27</f>
        <v>-2.45847786572995E-012</v>
      </c>
      <c r="AC24" s="212" t="n">
        <f aca="false">AB27</f>
        <v>-2.45847786572995E-012</v>
      </c>
      <c r="AD24" s="212" t="n">
        <f aca="false">AC27</f>
        <v>-2.45847786572995E-012</v>
      </c>
      <c r="AE24" s="212" t="n">
        <f aca="false">AD27</f>
        <v>-2.45847786572995E-012</v>
      </c>
      <c r="AF24" s="213"/>
      <c r="AG24" s="30"/>
    </row>
    <row r="25" customFormat="false" ht="12.75" hidden="false" customHeight="false" outlineLevel="0" collapsed="false">
      <c r="A25" s="29"/>
      <c r="B25" s="30" t="s">
        <v>389</v>
      </c>
      <c r="C25" s="30"/>
      <c r="D25" s="30"/>
      <c r="E25" s="213"/>
      <c r="F25" s="212" t="n">
        <f aca="false">E21</f>
        <v>13000</v>
      </c>
      <c r="G25" s="212" t="n">
        <v>0</v>
      </c>
      <c r="H25" s="212" t="n">
        <v>0</v>
      </c>
      <c r="I25" s="212" t="n">
        <v>0</v>
      </c>
      <c r="J25" s="212" t="n">
        <v>0</v>
      </c>
      <c r="K25" s="212" t="n">
        <v>0</v>
      </c>
      <c r="L25" s="212" t="n">
        <v>0</v>
      </c>
      <c r="M25" s="212" t="n">
        <v>0</v>
      </c>
      <c r="N25" s="212" t="n">
        <v>0</v>
      </c>
      <c r="O25" s="212" t="n">
        <v>0</v>
      </c>
      <c r="P25" s="212" t="n">
        <v>0</v>
      </c>
      <c r="Q25" s="212" t="n">
        <v>0</v>
      </c>
      <c r="R25" s="212" t="n">
        <v>0</v>
      </c>
      <c r="S25" s="212" t="n">
        <v>0</v>
      </c>
      <c r="T25" s="212" t="n">
        <v>0</v>
      </c>
      <c r="U25" s="212" t="n">
        <v>0</v>
      </c>
      <c r="V25" s="212" t="n">
        <v>0</v>
      </c>
      <c r="W25" s="212" t="n">
        <v>0</v>
      </c>
      <c r="X25" s="212" t="n">
        <v>0</v>
      </c>
      <c r="Y25" s="212" t="n">
        <v>0</v>
      </c>
      <c r="Z25" s="212" t="n">
        <v>0</v>
      </c>
      <c r="AA25" s="212" t="n">
        <v>0</v>
      </c>
      <c r="AB25" s="212" t="n">
        <v>0</v>
      </c>
      <c r="AC25" s="212" t="n">
        <v>0</v>
      </c>
      <c r="AD25" s="212" t="n">
        <v>0</v>
      </c>
      <c r="AE25" s="212" t="n">
        <v>0</v>
      </c>
      <c r="AF25" s="213" t="n">
        <f aca="false">SUM(F25:AE25)</f>
        <v>13000</v>
      </c>
      <c r="AG25" s="30"/>
    </row>
    <row r="26" customFormat="false" ht="12.75" hidden="false" customHeight="false" outlineLevel="0" collapsed="false">
      <c r="A26" s="29"/>
      <c r="B26" s="30" t="s">
        <v>390</v>
      </c>
      <c r="C26" s="30"/>
      <c r="D26" s="30"/>
      <c r="E26" s="213"/>
      <c r="F26" s="215" t="n">
        <f aca="false">-F21</f>
        <v>-284.375</v>
      </c>
      <c r="G26" s="215" t="n">
        <f aca="false">-G18</f>
        <v>-750.565833333333</v>
      </c>
      <c r="H26" s="215" t="n">
        <f aca="false">-H18</f>
        <v>-896.61</v>
      </c>
      <c r="I26" s="215" t="n">
        <f aca="false">-I18</f>
        <v>-829.551666666667</v>
      </c>
      <c r="J26" s="215" t="n">
        <f aca="false">-J18</f>
        <v>-767.823333333333</v>
      </c>
      <c r="K26" s="215" t="n">
        <f aca="false">-K18</f>
        <v>-710.233333333334</v>
      </c>
      <c r="L26" s="215" t="n">
        <f aca="false">-L18</f>
        <v>-656.944166666667</v>
      </c>
      <c r="M26" s="215" t="n">
        <f aca="false">-M18</f>
        <v>-607.685</v>
      </c>
      <c r="N26" s="215" t="n">
        <f aca="false">-N18</f>
        <v>-583.31</v>
      </c>
      <c r="O26" s="215" t="n">
        <f aca="false">-O18</f>
        <v>-579.984166666667</v>
      </c>
      <c r="P26" s="215" t="n">
        <f aca="false">-P18</f>
        <v>-580.005833333333</v>
      </c>
      <c r="Q26" s="215" t="n">
        <f aca="false">-Q18</f>
        <v>-579.984166666667</v>
      </c>
      <c r="R26" s="215" t="n">
        <f aca="false">-R18</f>
        <v>-580.005833333333</v>
      </c>
      <c r="S26" s="215" t="n">
        <f aca="false">-S18</f>
        <v>-579.984166666667</v>
      </c>
      <c r="T26" s="215" t="n">
        <f aca="false">-T18</f>
        <v>-580.005833333333</v>
      </c>
      <c r="U26" s="215" t="n">
        <f aca="false">-U18</f>
        <v>-579.984166666667</v>
      </c>
      <c r="V26" s="215" t="n">
        <f aca="false">-V18</f>
        <v>-580.005833333333</v>
      </c>
      <c r="W26" s="215" t="n">
        <f aca="false">-W18</f>
        <v>-579.984166666667</v>
      </c>
      <c r="X26" s="215" t="n">
        <f aca="false">-X18</f>
        <v>-580.005833333333</v>
      </c>
      <c r="Y26" s="215" t="n">
        <f aca="false">-Y18</f>
        <v>-579.984166666667</v>
      </c>
      <c r="Z26" s="215" t="n">
        <f aca="false">-Z18</f>
        <v>-410.821666666667</v>
      </c>
      <c r="AA26" s="215" t="n">
        <f aca="false">-AA18</f>
        <v>-122.145833333334</v>
      </c>
      <c r="AB26" s="215" t="n">
        <f aca="false">-AB18</f>
        <v>-0</v>
      </c>
      <c r="AC26" s="215" t="n">
        <f aca="false">-AC18</f>
        <v>-0</v>
      </c>
      <c r="AD26" s="215" t="n">
        <f aca="false">-AD18</f>
        <v>-0</v>
      </c>
      <c r="AE26" s="215" t="n">
        <f aca="false">-AE18</f>
        <v>-0</v>
      </c>
      <c r="AF26" s="213" t="n">
        <f aca="false">SUM(F26:AE26)</f>
        <v>-13000</v>
      </c>
      <c r="AG26" s="30"/>
    </row>
    <row r="27" customFormat="false" ht="12.75" hidden="false" customHeight="false" outlineLevel="0" collapsed="false">
      <c r="A27" s="57"/>
      <c r="B27" s="58" t="s">
        <v>391</v>
      </c>
      <c r="C27" s="58" t="s">
        <v>1</v>
      </c>
      <c r="D27" s="58"/>
      <c r="E27" s="431"/>
      <c r="F27" s="303" t="n">
        <f aca="false">SUM(F24:F26)</f>
        <v>12715.625</v>
      </c>
      <c r="G27" s="303" t="n">
        <f aca="false">SUM(G24:G26)</f>
        <v>11965.0591666667</v>
      </c>
      <c r="H27" s="303" t="n">
        <f aca="false">SUM(H24:H26)</f>
        <v>11068.4491666667</v>
      </c>
      <c r="I27" s="303" t="n">
        <f aca="false">SUM(I24:I26)</f>
        <v>10238.8975</v>
      </c>
      <c r="J27" s="303" t="n">
        <f aca="false">SUM(J24:J26)</f>
        <v>9471.07416666667</v>
      </c>
      <c r="K27" s="303" t="n">
        <f aca="false">SUM(K24:K26)</f>
        <v>8760.84083333333</v>
      </c>
      <c r="L27" s="303" t="n">
        <f aca="false">SUM(L24:L26)</f>
        <v>8103.89666666667</v>
      </c>
      <c r="M27" s="303" t="n">
        <f aca="false">SUM(M24:M26)</f>
        <v>7496.21166666666</v>
      </c>
      <c r="N27" s="303" t="n">
        <f aca="false">SUM(N24:N26)</f>
        <v>6912.90166666666</v>
      </c>
      <c r="O27" s="303" t="n">
        <f aca="false">SUM(O24:O26)</f>
        <v>6332.9175</v>
      </c>
      <c r="P27" s="303" t="n">
        <f aca="false">SUM(P24:P26)</f>
        <v>5752.91166666666</v>
      </c>
      <c r="Q27" s="303" t="n">
        <f aca="false">SUM(Q24:Q26)</f>
        <v>5172.9275</v>
      </c>
      <c r="R27" s="303" t="n">
        <f aca="false">SUM(R24:R26)</f>
        <v>4592.92166666666</v>
      </c>
      <c r="S27" s="303" t="n">
        <f aca="false">SUM(S24:S26)</f>
        <v>4012.9375</v>
      </c>
      <c r="T27" s="303" t="n">
        <f aca="false">SUM(T24:T26)</f>
        <v>3432.93166666666</v>
      </c>
      <c r="U27" s="303" t="n">
        <f aca="false">SUM(U24:U26)</f>
        <v>2852.9475</v>
      </c>
      <c r="V27" s="303" t="n">
        <f aca="false">SUM(V24:V26)</f>
        <v>2272.94166666667</v>
      </c>
      <c r="W27" s="303" t="n">
        <f aca="false">SUM(W24:W26)</f>
        <v>1692.9575</v>
      </c>
      <c r="X27" s="303" t="n">
        <f aca="false">SUM(X24:X26)</f>
        <v>1112.95166666666</v>
      </c>
      <c r="Y27" s="303" t="n">
        <f aca="false">SUM(Y24:Y26)</f>
        <v>532.967499999998</v>
      </c>
      <c r="Z27" s="303" t="n">
        <f aca="false">SUM(Z24:Z26)</f>
        <v>122.145833333332</v>
      </c>
      <c r="AA27" s="303" t="n">
        <f aca="false">SUM(AA24:AA26)</f>
        <v>-2.45847786572995E-012</v>
      </c>
      <c r="AB27" s="303" t="n">
        <f aca="false">SUM(AB24:AB26)</f>
        <v>-2.45847786572995E-012</v>
      </c>
      <c r="AC27" s="303" t="n">
        <f aca="false">SUM(AC24:AC26)</f>
        <v>-2.45847786572995E-012</v>
      </c>
      <c r="AD27" s="303" t="n">
        <f aca="false">SUM(AD24:AD26)</f>
        <v>-2.45847786572995E-012</v>
      </c>
      <c r="AE27" s="303" t="n">
        <f aca="false">SUM(AE24:AE26)</f>
        <v>-2.45847786572995E-012</v>
      </c>
      <c r="AF27" s="431"/>
      <c r="AG27" s="30"/>
    </row>
    <row r="28" customFormat="false" ht="12.75" hidden="false" customHeight="false" outlineLevel="0" collapsed="false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customFormat="false" ht="12.75" hidden="false" customHeight="false" outlineLevel="0" collapsed="false">
      <c r="A29" s="367" t="s">
        <v>392</v>
      </c>
      <c r="B29" s="392"/>
      <c r="C29" s="392"/>
      <c r="D29" s="15"/>
      <c r="E29" s="19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94"/>
      <c r="AG29" s="30"/>
    </row>
    <row r="30" customFormat="false" ht="12.75" hidden="false" customHeight="false" outlineLevel="0" collapsed="false">
      <c r="A30" s="29" t="s">
        <v>393</v>
      </c>
      <c r="B30" s="30"/>
      <c r="C30" s="30"/>
      <c r="D30" s="30"/>
      <c r="E30" s="207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207"/>
      <c r="AG30" s="30"/>
    </row>
    <row r="31" customFormat="false" ht="12.75" hidden="false" customHeight="false" outlineLevel="0" collapsed="false">
      <c r="A31" s="29"/>
      <c r="B31" s="30" t="s">
        <v>71</v>
      </c>
      <c r="C31" s="30"/>
      <c r="D31" s="30"/>
      <c r="E31" s="213" t="n">
        <f aca="false">ASS!$I23</f>
        <v>13000</v>
      </c>
      <c r="F31" s="212" t="n">
        <f aca="false">IF(ASS!$J$23=0,0,IF(F12&lt;ASS!$J$23+1,SLN(ASS!$I$23,0,ASS!$J$23)*F14/12,IF(F12=ASS!$J$23+1,SLN(ASS!$I$23,0,ASS!$J$23)*(12-F14)/12,0)))</f>
        <v>0</v>
      </c>
      <c r="G31" s="409" t="n">
        <f aca="false">IF(ASS!$J$23=0,0,IF(G12=ASS!$J$23,$E$31-SUM($F$31:F31),IF(G12&gt;TERM,0,IF(G12&lt;ASS!$J$23+1,SLN(ASS!$I$23,0,ASS!$J$23)*G14/12,IF(G12=ASS!$J$23+1,SLN(ASS!$I$23,0,ASS!$J$23)*(12-G14)/12,0)))))</f>
        <v>0</v>
      </c>
      <c r="H31" s="212" t="n">
        <f aca="false">IF(ASS!$J$23=0,0,IF(H12=ASS!$J$23,$E$31-SUM($F$31:G31),IF(H12&gt;TERM,0,IF(H12&lt;ASS!$J$23+1,SLN(ASS!$I$23,0,ASS!$J$23)*H14/12,IF(H12=ASS!$J$23+1,SLN(ASS!$I$23,0,ASS!$J$23)*(12-H14)/12,0)))))</f>
        <v>0</v>
      </c>
      <c r="I31" s="212" t="n">
        <f aca="false">IF(ASS!$J$23=0,0,IF(I12=ASS!$J$23,$E$31-SUM($F$31:H31),IF(I12&gt;TERM,0,IF(I12&lt;ASS!$J$23+1,SLN(ASS!$I$23,0,ASS!$J$23)*I14/12,IF(I12=ASS!$J$23+1,SLN(ASS!$I$23,0,ASS!$J$23)*(12-I14)/12,0)))))</f>
        <v>0</v>
      </c>
      <c r="J31" s="212" t="n">
        <f aca="false">IF(ASS!$J$23=0,0,IF(J12=ASS!$J$23,$E$31-SUM($F$31:I31),IF(J12&gt;TERM,0,IF(J12&lt;ASS!$J$23+1,SLN(ASS!$I$23,0,ASS!$J$23)*J14/12,IF(J12=ASS!$J$23+1,SLN(ASS!$I$23,0,ASS!$J$23)*(12-J14)/12,0)))))</f>
        <v>0</v>
      </c>
      <c r="K31" s="212" t="n">
        <f aca="false">IF(ASS!$J$23=0,0,IF(K12=ASS!$J$23,$E$31-SUM($F$31:J31),IF(K12&gt;TERM,0,IF(K12&lt;ASS!$J$23+1,SLN(ASS!$I$23,0,ASS!$J$23)*K14/12,IF(K12=ASS!$J$23+1,SLN(ASS!$I$23,0,ASS!$J$23)*(12-K14)/12,0)))))</f>
        <v>0</v>
      </c>
      <c r="L31" s="212" t="n">
        <f aca="false">IF(ASS!$J$23=0,0,IF(L12=ASS!$J$23,$E$31-SUM($F$31:K31),IF(L12&gt;TERM,0,IF(L12&lt;ASS!$J$23+1,SLN(ASS!$I$23,0,ASS!$J$23)*L14/12,IF(L12=ASS!$J$23+1,SLN(ASS!$I$23,0,ASS!$J$23)*(12-L14)/12,0)))))</f>
        <v>0</v>
      </c>
      <c r="M31" s="212" t="n">
        <f aca="false">IF(ASS!$J$23=0,0,IF(M12=ASS!$J$23,$E$31-SUM($F$31:L31),IF(M12&gt;TERM,0,IF(M12&lt;ASS!$J$23+1,SLN(ASS!$I$23,0,ASS!$J$23)*M14/12,IF(M12=ASS!$J$23+1,SLN(ASS!$I$23,0,ASS!$J$23)*(12-M14)/12,0)))))</f>
        <v>0</v>
      </c>
      <c r="N31" s="212" t="n">
        <f aca="false">IF(ASS!$J$23=0,0,IF(N12=ASS!$J$23,$E$31-SUM($F$31:M31),IF(N12&gt;TERM,0,IF(N12&lt;ASS!$J$23+1,SLN(ASS!$I$23,0,ASS!$J$23)*N14/12,IF(N12=ASS!$J$23+1,SLN(ASS!$I$23,0,ASS!$J$23)*(12-N14)/12,0)))))</f>
        <v>0</v>
      </c>
      <c r="O31" s="212" t="n">
        <f aca="false">IF(ASS!$J$23=0,0,IF(O12=ASS!$J$23,$E$31-SUM($F$31:N31),IF(O12&gt;TERM,0,IF(O12&lt;ASS!$J$23+1,SLN(ASS!$I$23,0,ASS!$J$23)*O14/12,IF(O12=ASS!$J$23+1,SLN(ASS!$I$23,0,ASS!$J$23)*(12-O14)/12,0)))))</f>
        <v>0</v>
      </c>
      <c r="P31" s="212" t="n">
        <f aca="false">IF(ASS!$J$23=0,0,IF(P12=ASS!$J$23,$E$31-SUM($F$31:O31),IF(P12&gt;TERM,0,IF(P12&lt;ASS!$J$23+1,SLN(ASS!$I$23,0,ASS!$J$23)*P14/12,IF(P12=ASS!$J$23+1,SLN(ASS!$I$23,0,ASS!$J$23)*(12-P14)/12,0)))))</f>
        <v>0</v>
      </c>
      <c r="Q31" s="212" t="n">
        <f aca="false">IF(ASS!$J$23=0,0,IF(Q12=ASS!$J$23,$E$31-SUM($F$31:P31),IF(Q12&gt;TERM,0,IF(Q12&lt;ASS!$J$23+1,SLN(ASS!$I$23,0,ASS!$J$23)*Q14/12,IF(Q12=ASS!$J$23+1,SLN(ASS!$I$23,0,ASS!$J$23)*(12-Q14)/12,0)))))</f>
        <v>0</v>
      </c>
      <c r="R31" s="212" t="n">
        <f aca="false">IF(ASS!$J$23=0,0,IF(R12=ASS!$J$23,$E$31-SUM($F$31:Q31),IF(R12&gt;TERM,0,IF(R12&lt;ASS!$J$23+1,SLN(ASS!$I$23,0,ASS!$J$23)*R14/12,IF(R12=ASS!$J$23+1,SLN(ASS!$I$23,0,ASS!$J$23)*(12-R14)/12,0)))))</f>
        <v>0</v>
      </c>
      <c r="S31" s="212" t="n">
        <f aca="false">IF(ASS!$J$23=0,0,IF(S12=ASS!$J$23,$E$31-SUM($F$31:R31),IF(S12&gt;TERM,0,IF(S12&lt;ASS!$J$23+1,SLN(ASS!$I$23,0,ASS!$J$23)*S14/12,IF(S12=ASS!$J$23+1,SLN(ASS!$I$23,0,ASS!$J$23)*(12-S14)/12,0)))))</f>
        <v>0</v>
      </c>
      <c r="T31" s="212" t="n">
        <f aca="false">IF(ASS!$J$23=0,0,IF(T12=ASS!$J$23,$E$31-SUM($F$31:S31),IF(T12&gt;TERM,0,IF(T12&lt;ASS!$J$23+1,SLN(ASS!$I$23,0,ASS!$J$23)*T14/12,IF(T12=ASS!$J$23+1,SLN(ASS!$I$23,0,ASS!$J$23)*(12-T14)/12,0)))))</f>
        <v>0</v>
      </c>
      <c r="U31" s="212" t="n">
        <f aca="false">IF(ASS!$J$23=0,0,IF(U12=ASS!$J$23,$E$31-SUM($F$31:T31),IF(U12&gt;TERM,0,IF(U12&lt;ASS!$J$23+1,SLN(ASS!$I$23,0,ASS!$J$23)*U14/12,IF(U12=ASS!$J$23+1,SLN(ASS!$I$23,0,ASS!$J$23)*(12-U14)/12,0)))))</f>
        <v>0</v>
      </c>
      <c r="V31" s="212" t="n">
        <f aca="false">IF(ASS!$J$23=0,0,IF(V12=ASS!$J$23,$E$31-SUM($F$31:U31),IF(V12&gt;TERM,0,IF(V12&lt;ASS!$J$23+1,SLN(ASS!$I$23,0,ASS!$J$23)*V14/12,IF(V12=ASS!$J$23+1,SLN(ASS!$I$23,0,ASS!$J$23)*(12-V14)/12,0)))))</f>
        <v>0</v>
      </c>
      <c r="W31" s="212" t="n">
        <f aca="false">IF(ASS!$J$23=0,0,IF(W12=ASS!$J$23,$E$31-SUM($F$31:V31),IF(W12&gt;TERM,0,IF(W12&lt;ASS!$J$23+1,SLN(ASS!$I$23,0,ASS!$J$23)*W14/12,IF(W12=ASS!$J$23+1,SLN(ASS!$I$23,0,ASS!$J$23)*(12-W14)/12,0)))))</f>
        <v>0</v>
      </c>
      <c r="X31" s="212" t="n">
        <f aca="false">IF(ASS!$J$23=0,0,IF(X12=ASS!$J$23,$E$31-SUM($F$31:W31),IF(X12&gt;TERM,0,IF(X12&lt;ASS!$J$23+1,SLN(ASS!$I$23,0,ASS!$J$23)*X14/12,IF(X12=ASS!$J$23+1,SLN(ASS!$I$23,0,ASS!$J$23)*(12-X14)/12,0)))))</f>
        <v>0</v>
      </c>
      <c r="Y31" s="212" t="n">
        <f aca="false">IF(ASS!$J$23=0,0,IF(Y12=ASS!$J$23,$E$31-SUM($F$31:X31),IF(Y12&gt;TERM,0,IF(Y12&lt;ASS!$J$23+1,SLN(ASS!$I$23,0,ASS!$J$23)*Y14/12,IF(Y12=ASS!$J$23+1,SLN(ASS!$I$23,0,ASS!$J$23)*(12-Y14)/12,0)))))</f>
        <v>0</v>
      </c>
      <c r="Z31" s="212" t="n">
        <f aca="false">IF(ASS!$J$23=0,0,IF(Z12=ASS!$J$23,$E$31-SUM($F$31:Y31),IF(Z12&gt;TERM,0,IF(Z12&lt;ASS!$J$23+1,SLN(ASS!$I$23,0,ASS!$J$23)*Z14/12,IF(Z12=ASS!$J$23+1,SLN(ASS!$I$23,0,ASS!$J$23)*(12-Z14)/12,0)))))</f>
        <v>0</v>
      </c>
      <c r="AA31" s="212" t="n">
        <f aca="false">IF(ASS!$J$23=0,0,IF(AA12=ASS!$J$23,$E$31-SUM($F$31:Z31),IF(AA12&gt;TERM,0,IF(AA12&lt;ASS!$J$23+1,SLN(ASS!$I$23,0,ASS!$J$23)*AA14/12,IF(AA12=ASS!$J$23+1,SLN(ASS!$I$23,0,ASS!$J$23)*(12-AA14)/12,0)))))</f>
        <v>0</v>
      </c>
      <c r="AB31" s="212" t="n">
        <f aca="false">IF(ASS!$J$23=0,0,IF(AB12=ASS!$J$23,$E$31-SUM($F$31:AA31),IF(AB12&gt;TERM,0,IF(AB12&lt;ASS!$J$23+1,SLN(ASS!$I$23,0,ASS!$J$23)*AB14/12,IF(AB12=ASS!$J$23+1,SLN(ASS!$I$23,0,ASS!$J$23)*(12-AB14)/12,0)))))</f>
        <v>0</v>
      </c>
      <c r="AC31" s="212" t="n">
        <f aca="false">IF(ASS!$J$23=0,0,IF(AC12=ASS!$J$23,$E$31-SUM($F$31:AB31),IF(AC12&gt;TERM,0,IF(AC12&lt;ASS!$J$23+1,SLN(ASS!$I$23,0,ASS!$J$23)*AC14/12,IF(AC12=ASS!$J$23+1,SLN(ASS!$I$23,0,ASS!$J$23)*(12-AC14)/12,0)))))</f>
        <v>0</v>
      </c>
      <c r="AD31" s="212" t="n">
        <f aca="false">IF(ASS!$J$23=0,0,IF(AD12=ASS!$J$23,$E$31-SUM($F$31:AC31),IF(AD12&gt;TERM,0,IF(AD12&lt;ASS!$J$23+1,SLN(ASS!$I$23,0,ASS!$J$23)*AD14/12,IF(AD12=ASS!$J$23+1,SLN(ASS!$I$23,0,ASS!$J$23)*(12-AD14)/12,0)))))</f>
        <v>0</v>
      </c>
      <c r="AE31" s="212" t="n">
        <f aca="false">IF(ASS!$J$23=0,0,IF(AE12=ASS!$J$23,$E$31-SUM($F$31:AD31),IF(AE12&gt;TERM,0,IF(AE12&lt;ASS!$J$23+1,SLN(ASS!$I$23,0,ASS!$J$23)*AE14/12,IF(AE12=ASS!$J$23+1,SLN(ASS!$I$23,0,ASS!$J$23)*(12-AE14)/12,0)))))</f>
        <v>0</v>
      </c>
      <c r="AF31" s="213" t="n">
        <f aca="false">SUM(F31:AE31)</f>
        <v>0</v>
      </c>
      <c r="AG31" s="30"/>
    </row>
    <row r="32" customFormat="false" ht="12.75" hidden="false" customHeight="false" outlineLevel="0" collapsed="false">
      <c r="A32" s="29"/>
      <c r="B32" s="30" t="s">
        <v>75</v>
      </c>
      <c r="C32" s="30"/>
      <c r="D32" s="30"/>
      <c r="E32" s="213" t="n">
        <f aca="false">ASS!$I24</f>
        <v>0</v>
      </c>
      <c r="F32" s="212" t="n">
        <f aca="false">IF(ASS!$J$23=0,0,IF($F13&lt;ASS!$J$23+1,SLN(ASS!$I$23,0,ASS!$J$23)*$F16/12,IF($F13=ASS!$J$23+1,SLN(ASS!$I$23,0,ASS!$J$23)*(12-$F16)/12,0)))</f>
        <v>0</v>
      </c>
      <c r="G32" s="212" t="n">
        <f aca="false">IF(ASS!$J$24=0,0,IF(G12=TERM,$E$32-SUM($F$32:F32),IF(G12&gt;TERM,0,IF(G12&lt;ASS!$J$24+1,SLN(ASS!$I$24,0,ASS!$J$24)*G14/12,IF(G12=ASS!$J$24+1,SLN(ASS!$I$24,0,ASS!$J$24)*(12-G14)/12,0)))))</f>
        <v>0</v>
      </c>
      <c r="H32" s="212" t="n">
        <f aca="false">IF(ASS!$J$24=0,0,IF(H12=TERM,$E$32-SUM($F$32:G32),IF(H12&gt;TERM,0,IF(H12&lt;ASS!$J$24+1,SLN(ASS!$I$24,0,ASS!$J$24)*H14/12,IF(H12=ASS!$J$24+1,SLN(ASS!$I$24,0,ASS!$J$24)*(12-H14)/12,0)))))</f>
        <v>0</v>
      </c>
      <c r="I32" s="212" t="n">
        <f aca="false">IF(ASS!$J$24=0,0,IF(I12=TERM,$E$32-SUM($F$32:H32),IF(I12&gt;TERM,0,IF(I12&lt;ASS!$J$24+1,SLN(ASS!$I$24,0,ASS!$J$24)*I14/12,IF(I12=ASS!$J$24+1,SLN(ASS!$I$24,0,ASS!$J$24)*(12-I14)/12,0)))))</f>
        <v>0</v>
      </c>
      <c r="J32" s="212" t="n">
        <f aca="false">IF(ASS!$J$24=0,0,IF(J12=TERM,$E$32-SUM($F$32:I32),IF(J12&gt;TERM,0,IF(J12&lt;ASS!$J$24+1,SLN(ASS!$I$24,0,ASS!$J$24)*J14/12,IF(J12=ASS!$J$24+1,SLN(ASS!$I$24,0,ASS!$J$24)*(12-J14)/12,0)))))</f>
        <v>0</v>
      </c>
      <c r="K32" s="212" t="n">
        <f aca="false">IF(ASS!$J$24=0,0,IF(K12=TERM,$E$32-SUM($F$32:J32),IF(K12&gt;TERM,0,IF(K12&lt;ASS!$J$24+1,SLN(ASS!$I$24,0,ASS!$J$24)*K14/12,IF(K12=ASS!$J$24+1,SLN(ASS!$I$24,0,ASS!$J$24)*(12-K14)/12,0)))))</f>
        <v>0</v>
      </c>
      <c r="L32" s="212" t="n">
        <f aca="false">IF(ASS!$J$24=0,0,IF(L12=TERM,$E$32-SUM($F$32:K32),IF(L12&gt;TERM,0,IF(L12&lt;ASS!$J$24+1,SLN(ASS!$I$24,0,ASS!$J$24)*L14/12,IF(L12=ASS!$J$24+1,SLN(ASS!$I$24,0,ASS!$J$24)*(12-L14)/12,0)))))</f>
        <v>0</v>
      </c>
      <c r="M32" s="212" t="n">
        <f aca="false">IF(ASS!$J$24=0,0,IF(M12=TERM,$E$32-SUM($F$32:L32),IF(M12&gt;TERM,0,IF(M12&lt;ASS!$J$24+1,SLN(ASS!$I$24,0,ASS!$J$24)*M14/12,IF(M12=ASS!$J$24+1,SLN(ASS!$I$24,0,ASS!$J$24)*(12-M14)/12,0)))))</f>
        <v>0</v>
      </c>
      <c r="N32" s="212" t="n">
        <f aca="false">IF(ASS!$J$24=0,0,IF(N12=TERM,$E$32-SUM($F$32:M32),IF(N12&gt;TERM,0,IF(N12&lt;ASS!$J$24+1,SLN(ASS!$I$24,0,ASS!$J$24)*N14/12,IF(N12=ASS!$J$24+1,SLN(ASS!$I$24,0,ASS!$J$24)*(12-N14)/12,0)))))</f>
        <v>0</v>
      </c>
      <c r="O32" s="212" t="n">
        <f aca="false">IF(ASS!$J$24=0,0,IF(O12=TERM,$E$32-SUM($F$32:N32),IF(O12&gt;TERM,0,IF(O12&lt;ASS!$J$24+1,SLN(ASS!$I$24,0,ASS!$J$24)*O14/12,IF(O12=ASS!$J$24+1,SLN(ASS!$I$24,0,ASS!$J$24)*(12-O14)/12,0)))))</f>
        <v>0</v>
      </c>
      <c r="P32" s="212" t="n">
        <f aca="false">IF(ASS!$J$24=0,0,IF(P12=TERM,$E$32-SUM($F$32:O32),IF(P12&gt;TERM,0,IF(P12&lt;ASS!$J$24+1,SLN(ASS!$I$24,0,ASS!$J$24)*P14/12,IF(P12=ASS!$J$24+1,SLN(ASS!$I$24,0,ASS!$J$24)*(12-P14)/12,0)))))</f>
        <v>0</v>
      </c>
      <c r="Q32" s="212" t="n">
        <f aca="false">IF(ASS!$J$24=0,0,IF(Q12=TERM,$E$32-SUM($F$32:P32),IF(Q12&gt;TERM,0,IF(Q12&lt;ASS!$J$24+1,SLN(ASS!$I$24,0,ASS!$J$24)*Q14/12,IF(Q12=ASS!$J$24+1,SLN(ASS!$I$24,0,ASS!$J$24)*(12-Q14)/12,0)))))</f>
        <v>0</v>
      </c>
      <c r="R32" s="212" t="n">
        <f aca="false">IF(ASS!$J$24=0,0,IF(R12=TERM,$E$32-SUM($F$32:Q32),IF(R12&gt;TERM,0,IF(R12&lt;ASS!$J$24+1,SLN(ASS!$I$24,0,ASS!$J$24)*R14/12,IF(R12=ASS!$J$24+1,SLN(ASS!$I$24,0,ASS!$J$24)*(12-R14)/12,0)))))</f>
        <v>0</v>
      </c>
      <c r="S32" s="212" t="n">
        <f aca="false">IF(ASS!$J$24=0,0,IF(S12=TERM,$E$32-SUM($F$32:R32),IF(S12&gt;TERM,0,IF(S12&lt;ASS!$J$24+1,SLN(ASS!$I$24,0,ASS!$J$24)*S14/12,IF(S12=ASS!$J$24+1,SLN(ASS!$I$24,0,ASS!$J$24)*(12-S14)/12,0)))))</f>
        <v>0</v>
      </c>
      <c r="T32" s="212" t="n">
        <f aca="false">IF(ASS!$J$24=0,0,IF(T12=TERM,$E$32-SUM($F$32:S32),IF(T12&gt;TERM,0,IF(T12&lt;ASS!$J$24+1,SLN(ASS!$I$24,0,ASS!$J$24)*T14/12,IF(T12=ASS!$J$24+1,SLN(ASS!$I$24,0,ASS!$J$24)*(12-T14)/12,0)))))</f>
        <v>0</v>
      </c>
      <c r="U32" s="212" t="n">
        <f aca="false">IF(ASS!$J$24=0,0,IF(U12=TERM,$E$32-SUM($F$32:T32),IF(U12&gt;TERM,0,IF(U12&lt;ASS!$J$24+1,SLN(ASS!$I$24,0,ASS!$J$24)*U14/12,IF(U12=ASS!$J$24+1,SLN(ASS!$I$24,0,ASS!$J$24)*(12-U14)/12,0)))))</f>
        <v>0</v>
      </c>
      <c r="V32" s="212" t="n">
        <f aca="false">IF(ASS!$J$24=0,0,IF(V12=TERM,$E$32-SUM($F$32:U32),IF(V12&gt;TERM,0,IF(V12&lt;ASS!$J$24+1,SLN(ASS!$I$24,0,ASS!$J$24)*V14/12,IF(V12=ASS!$J$24+1,SLN(ASS!$I$24,0,ASS!$J$24)*(12-V14)/12,0)))))</f>
        <v>0</v>
      </c>
      <c r="W32" s="212" t="n">
        <f aca="false">IF(ASS!$J$24=0,0,IF(W12=TERM,$E$32-SUM($F$32:V32),IF(W12&gt;TERM,0,IF(W12&lt;ASS!$J$24+1,SLN(ASS!$I$24,0,ASS!$J$24)*W14/12,IF(W12=ASS!$J$24+1,SLN(ASS!$I$24,0,ASS!$J$24)*(12-W14)/12,0)))))</f>
        <v>0</v>
      </c>
      <c r="X32" s="212" t="n">
        <f aca="false">IF(ASS!$J$24=0,0,IF(X12=TERM,$E$32-SUM($F$32:W32),IF(X12&gt;TERM,0,IF(X12&lt;ASS!$J$24+1,SLN(ASS!$I$24,0,ASS!$J$24)*X14/12,IF(X12=ASS!$J$24+1,SLN(ASS!$I$24,0,ASS!$J$24)*(12-X14)/12,0)))))</f>
        <v>0</v>
      </c>
      <c r="Y32" s="212" t="n">
        <f aca="false">IF(ASS!$J$24=0,0,IF(Y12=TERM,$E$32-SUM($F$32:X32),IF(Y12&gt;TERM,0,IF(Y12&lt;ASS!$J$24+1,SLN(ASS!$I$24,0,ASS!$J$24)*Y14/12,IF(Y12=ASS!$J$24+1,SLN(ASS!$I$24,0,ASS!$J$24)*(12-Y14)/12,0)))))</f>
        <v>0</v>
      </c>
      <c r="Z32" s="212" t="n">
        <f aca="false">IF(ASS!$J$24=0,0,IF(Z12=TERM,$E$32-SUM($F$32:Y32),IF(Z12&gt;TERM,0,IF(Z12&lt;ASS!$J$24+1,SLN(ASS!$I$24,0,ASS!$J$24)*Z14/12,IF(Z12=ASS!$J$24+1,SLN(ASS!$I$24,0,ASS!$J$24)*(12-Z14)/12,0)))))</f>
        <v>0</v>
      </c>
      <c r="AA32" s="212" t="n">
        <f aca="false">IF(ASS!$J$24=0,0,IF(AA12=TERM,$E$32-SUM($F$32:Z32),IF(AA12&gt;TERM,0,IF(AA12&lt;ASS!$J$24+1,SLN(ASS!$I$24,0,ASS!$J$24)*AA14/12,IF(AA12=ASS!$J$24+1,SLN(ASS!$I$24,0,ASS!$J$24)*(12-AA14)/12,0)))))</f>
        <v>0</v>
      </c>
      <c r="AB32" s="212" t="n">
        <f aca="false">IF(ASS!$J$24=0,0,IF(AB12=TERM,$E$32-SUM($F$32:AA32),IF(AB12&gt;TERM,0,IF(AB12&lt;ASS!$J$24+1,SLN(ASS!$I$24,0,ASS!$J$24)*AB14/12,IF(AB12=ASS!$J$24+1,SLN(ASS!$I$24,0,ASS!$J$24)*(12-AB14)/12,0)))))</f>
        <v>0</v>
      </c>
      <c r="AC32" s="212" t="n">
        <f aca="false">IF(ASS!$J$24=0,0,IF(AC12=TERM,$E$32-SUM($F$32:AB32),IF(AC12&gt;TERM,0,IF(AC12&lt;ASS!$J$24+1,SLN(ASS!$I$24,0,ASS!$J$24)*AC14/12,IF(AC12=ASS!$J$24+1,SLN(ASS!$I$24,0,ASS!$J$24)*(12-AC14)/12,0)))))</f>
        <v>0</v>
      </c>
      <c r="AD32" s="212" t="n">
        <f aca="false">IF(ASS!$J$24=0,0,IF(AD12=TERM,$E$32-SUM($F$32:AC32),IF(AD12&gt;TERM,0,IF(AD12&lt;ASS!$J$24+1,SLN(ASS!$I$24,0,ASS!$J$24)*AD14/12,IF(AD12=ASS!$J$24+1,SLN(ASS!$I$24,0,ASS!$J$24)*(12-AD14)/12,0)))))</f>
        <v>0</v>
      </c>
      <c r="AE32" s="212" t="n">
        <f aca="false">IF(ASS!$J$24=0,0,IF(AE12=TERM,$E$32-SUM($F$32:AD32),IF(AE12&gt;TERM,0,IF(AE12&lt;ASS!$J$24+1,SLN(ASS!$I$24,0,ASS!$J$24)*AE14/12,IF(AE12=ASS!$J$24+1,SLN(ASS!$I$24,0,ASS!$J$24)*(12-AE14)/12,0)))))</f>
        <v>0</v>
      </c>
      <c r="AF32" s="213" t="n">
        <f aca="false">SUM(F32:AE32)</f>
        <v>0</v>
      </c>
      <c r="AG32" s="30"/>
    </row>
    <row r="33" customFormat="false" ht="12.75" hidden="false" customHeight="false" outlineLevel="0" collapsed="false">
      <c r="A33" s="29"/>
      <c r="B33" s="30" t="s">
        <v>81</v>
      </c>
      <c r="C33" s="30"/>
      <c r="D33" s="30"/>
      <c r="E33" s="429" t="n">
        <f aca="false">ASS!$I25</f>
        <v>0</v>
      </c>
      <c r="F33" s="416" t="n">
        <f aca="false">IF(ASS!$J$25=0,0,IF(F12&lt;ASS!$J$25+1,SLN(ASS!$I$25,0,ASS!$J$25)*F14/12,IF(F12=ASS!$J$25+1,SLN(ASS!$I$25,0,ASS!$J$25)*(12-F14)/12,0)))</f>
        <v>0</v>
      </c>
      <c r="G33" s="416" t="n">
        <f aca="false">IF(ASS!$J$25=0,0,IF(G12=TERM,$E$33-SUM($F$33:F33),IF(G12&gt;TERM,0,IF(G12&lt;ASS!$J$25+1,SLN(ASS!$I$25,0,ASS!$J$25)*G14/12,IF(G12=ASS!$J$25+1,SLN(ASS!$I$25,0,ASS!$J$25)*(12-G14)/12,0)))))</f>
        <v>0</v>
      </c>
      <c r="H33" s="416" t="n">
        <f aca="false">IF(ASS!$J$25=0,0,IF(H12=TERM,$E$33-SUM($F$33:G33),IF(H12&gt;TERM,0,IF(H12&lt;ASS!$J$25+1,SLN(ASS!$I$25,0,ASS!$J$25)*H14/12,IF(H12=ASS!$J$25+1,SLN(ASS!$I$25,0,ASS!$J$25)*(12-H14)/12,0)))))</f>
        <v>0</v>
      </c>
      <c r="I33" s="416" t="n">
        <f aca="false">IF(ASS!$J$25=0,0,IF(I12=TERM,$E$33-SUM($F$33:H33),IF(I12&gt;TERM,0,IF(I12&lt;ASS!$J$25+1,SLN(ASS!$I$25,0,ASS!$J$25)*I14/12,IF(I12=ASS!$J$25+1,SLN(ASS!$I$25,0,ASS!$J$25)*(12-I14)/12,0)))))</f>
        <v>0</v>
      </c>
      <c r="J33" s="416" t="n">
        <f aca="false">IF(ASS!$J$25=0,0,IF(J12=TERM,$E$33-SUM($F$33:I33),IF(J12&gt;TERM,0,IF(J12&lt;ASS!$J$25+1,SLN(ASS!$I$25,0,ASS!$J$25)*J14/12,IF(J12=ASS!$J$25+1,SLN(ASS!$I$25,0,ASS!$J$25)*(12-J14)/12,0)))))</f>
        <v>0</v>
      </c>
      <c r="K33" s="416" t="n">
        <f aca="false">IF(ASS!$J$25=0,0,IF(K12=TERM,$E$33-SUM($F$33:J33),IF(K12&gt;TERM,0,IF(K12&lt;ASS!$J$25+1,SLN(ASS!$I$25,0,ASS!$J$25)*K14/12,IF(K12=ASS!$J$25+1,SLN(ASS!$I$25,0,ASS!$J$25)*(12-K14)/12,0)))))</f>
        <v>0</v>
      </c>
      <c r="L33" s="416" t="n">
        <f aca="false">IF(ASS!$J$25=0,0,IF(L12=TERM,$E$33-SUM($F$33:K33),IF(L12&gt;TERM,0,IF(L12&lt;ASS!$J$25+1,SLN(ASS!$I$25,0,ASS!$J$25)*L14/12,IF(L12=ASS!$J$25+1,SLN(ASS!$I$25,0,ASS!$J$25)*(12-L14)/12,0)))))</f>
        <v>0</v>
      </c>
      <c r="M33" s="416" t="n">
        <f aca="false">IF(ASS!$J$25=0,0,IF(M12=TERM,$E$33-SUM($F$33:L33),IF(M12&gt;TERM,0,IF(M12&lt;ASS!$J$25+1,SLN(ASS!$I$25,0,ASS!$J$25)*M14/12,IF(M12=ASS!$J$25+1,SLN(ASS!$I$25,0,ASS!$J$25)*(12-M14)/12,0)))))</f>
        <v>0</v>
      </c>
      <c r="N33" s="416" t="n">
        <f aca="false">IF(ASS!$J$25=0,0,IF(N12=TERM,$E$33-SUM($F$33:M33),IF(N12&gt;TERM,0,IF(N12&lt;ASS!$J$25+1,SLN(ASS!$I$25,0,ASS!$J$25)*N14/12,IF(N12=ASS!$J$25+1,SLN(ASS!$I$25,0,ASS!$J$25)*(12-N14)/12,0)))))</f>
        <v>0</v>
      </c>
      <c r="O33" s="416" t="n">
        <f aca="false">IF(ASS!$J$25=0,0,IF(O12=TERM,$E$33-SUM($F$33:N33),IF(O12&gt;TERM,0,IF(O12&lt;ASS!$J$25+1,SLN(ASS!$I$25,0,ASS!$J$25)*O14/12,IF(O12=ASS!$J$25+1,SLN(ASS!$I$25,0,ASS!$J$25)*(12-O14)/12,0)))))</f>
        <v>0</v>
      </c>
      <c r="P33" s="416" t="n">
        <f aca="false">IF(ASS!$J$25=0,0,IF(P12=TERM,$E$33-SUM($F$33:O33),IF(P12&gt;TERM,0,IF(P12&lt;ASS!$J$25+1,SLN(ASS!$I$25,0,ASS!$J$25)*P14/12,IF(P12=ASS!$J$25+1,SLN(ASS!$I$25,0,ASS!$J$25)*(12-P14)/12,0)))))</f>
        <v>0</v>
      </c>
      <c r="Q33" s="416" t="n">
        <f aca="false">IF(ASS!$J$25=0,0,IF(Q12=TERM,$E$33-SUM($F$33:P33),IF(Q12&gt;TERM,0,IF(Q12&lt;ASS!$J$25+1,SLN(ASS!$I$25,0,ASS!$J$25)*Q14/12,IF(Q12=ASS!$J$25+1,SLN(ASS!$I$25,0,ASS!$J$25)*(12-Q14)/12,0)))))</f>
        <v>0</v>
      </c>
      <c r="R33" s="416" t="n">
        <f aca="false">IF(ASS!$J$25=0,0,IF(R12=TERM,$E$33-SUM($F$33:Q33),IF(R12&gt;TERM,0,IF(R12&lt;ASS!$J$25+1,SLN(ASS!$I$25,0,ASS!$J$25)*R14/12,IF(R12=ASS!$J$25+1,SLN(ASS!$I$25,0,ASS!$J$25)*(12-R14)/12,0)))))</f>
        <v>0</v>
      </c>
      <c r="S33" s="416" t="n">
        <f aca="false">IF(ASS!$J$25=0,0,IF(S12=TERM,$E$33-SUM($F$33:R33),IF(S12&gt;TERM,0,IF(S12&lt;ASS!$J$25+1,SLN(ASS!$I$25,0,ASS!$J$25)*S14/12,IF(S12=ASS!$J$25+1,SLN(ASS!$I$25,0,ASS!$J$25)*(12-S14)/12,0)))))</f>
        <v>0</v>
      </c>
      <c r="T33" s="416" t="n">
        <f aca="false">IF(ASS!$J$25=0,0,IF(T12=TERM,$E$33-SUM($F$33:S33),IF(T12&gt;TERM,0,IF(T12&lt;ASS!$J$25+1,SLN(ASS!$I$25,0,ASS!$J$25)*T14/12,IF(T12=ASS!$J$25+1,SLN(ASS!$I$25,0,ASS!$J$25)*(12-T14)/12,0)))))</f>
        <v>0</v>
      </c>
      <c r="U33" s="416" t="n">
        <f aca="false">IF(ASS!$J$25=0,0,IF(U12=TERM,$E$33-SUM($F$33:T33),IF(U12&gt;TERM,0,IF(U12&lt;ASS!$J$25+1,SLN(ASS!$I$25,0,ASS!$J$25)*U14/12,IF(U12=ASS!$J$25+1,SLN(ASS!$I$25,0,ASS!$J$25)*(12-U14)/12,0)))))</f>
        <v>0</v>
      </c>
      <c r="V33" s="416" t="n">
        <f aca="false">IF(ASS!$J$25=0,0,IF(V12=TERM,$E$33-SUM($F$33:U33),IF(V12&gt;TERM,0,IF(V12&lt;ASS!$J$25+1,SLN(ASS!$I$25,0,ASS!$J$25)*V14/12,IF(V12=ASS!$J$25+1,SLN(ASS!$I$25,0,ASS!$J$25)*(12-V14)/12,0)))))</f>
        <v>0</v>
      </c>
      <c r="W33" s="416" t="n">
        <f aca="false">IF(ASS!$J$25=0,0,IF(W12=TERM,$E$33-SUM($F$33:V33),IF(W12&gt;TERM,0,IF(W12&lt;ASS!$J$25+1,SLN(ASS!$I$25,0,ASS!$J$25)*W14/12,IF(W12=ASS!$J$25+1,SLN(ASS!$I$25,0,ASS!$J$25)*(12-W14)/12,0)))))</f>
        <v>0</v>
      </c>
      <c r="X33" s="416" t="n">
        <f aca="false">IF(ASS!$J$25=0,0,IF(X12=TERM,$E$33-SUM($F$33:W33),IF(X12&gt;TERM,0,IF(X12&lt;ASS!$J$25+1,SLN(ASS!$I$25,0,ASS!$J$25)*X14/12,IF(X12=ASS!$J$25+1,SLN(ASS!$I$25,0,ASS!$J$25)*(12-X14)/12,0)))))</f>
        <v>0</v>
      </c>
      <c r="Y33" s="416" t="n">
        <f aca="false">IF(ASS!$J$25=0,0,IF(Y12=TERM,$E$33-SUM($F$33:X33),IF(Y12&gt;TERM,0,IF(Y12&lt;ASS!$J$25+1,SLN(ASS!$I$25,0,ASS!$J$25)*Y14/12,IF(Y12=ASS!$J$25+1,SLN(ASS!$I$25,0,ASS!$J$25)*(12-Y14)/12,0)))))</f>
        <v>0</v>
      </c>
      <c r="Z33" s="416" t="n">
        <f aca="false">IF(ASS!$J$25=0,0,IF(Z12=TERM,$E$33-SUM($F$33:Y33),IF(Z12&gt;TERM,0,IF(Z12&lt;ASS!$J$25+1,SLN(ASS!$I$25,0,ASS!$J$25)*Z14/12,IF(Z12=ASS!$J$25+1,SLN(ASS!$I$25,0,ASS!$J$25)*(12-Z14)/12,0)))))</f>
        <v>0</v>
      </c>
      <c r="AA33" s="416" t="n">
        <f aca="false">IF(ASS!$J$25=0,0,IF(AA12=TERM,$E$33-SUM($F$33:Z33),IF(AA12&gt;TERM,0,IF(AA12&lt;ASS!$J$25+1,SLN(ASS!$I$25,0,ASS!$J$25)*AA14/12,IF(AA12=ASS!$J$25+1,SLN(ASS!$I$25,0,ASS!$J$25)*(12-AA14)/12,0)))))</f>
        <v>0</v>
      </c>
      <c r="AB33" s="416" t="n">
        <f aca="false">IF(ASS!$J$25=0,0,IF(AB12=TERM,$E$33-SUM($F$33:AA33),IF(AB12&gt;TERM,0,IF(AB12&lt;ASS!$J$25+1,SLN(ASS!$I$25,0,ASS!$J$25)*AB14/12,IF(AB12=ASS!$J$25+1,SLN(ASS!$I$25,0,ASS!$J$25)*(12-AB14)/12,0)))))</f>
        <v>0</v>
      </c>
      <c r="AC33" s="416" t="n">
        <f aca="false">IF(ASS!$J$25=0,0,IF(AC12=TERM,$E$33-SUM($F$33:AB33),IF(AC12&gt;TERM,0,IF(AC12&lt;ASS!$J$25+1,SLN(ASS!$I$25,0,ASS!$J$25)*AC14/12,IF(AC12=ASS!$J$25+1,SLN(ASS!$I$25,0,ASS!$J$25)*(12-AC14)/12,0)))))</f>
        <v>0</v>
      </c>
      <c r="AD33" s="416" t="n">
        <f aca="false">IF(ASS!$J$25=0,0,IF(AD12=TERM,$E$33-SUM($F$33:AC33),IF(AD12&gt;TERM,0,IF(AD12&lt;ASS!$J$25+1,SLN(ASS!$I$25,0,ASS!$J$25)*AD14/12,IF(AD12=ASS!$J$25+1,SLN(ASS!$I$25,0,ASS!$J$25)*(12-AD14)/12,0)))))</f>
        <v>0</v>
      </c>
      <c r="AE33" s="416" t="n">
        <f aca="false">IF(ASS!$J$25=0,0,IF(AE12=TERM,$E$33-SUM($F$33:AD33),IF(AE12&gt;TERM,0,IF(AE12&lt;ASS!$J$25+1,SLN(ASS!$I$25,0,ASS!$J$25)*AE14/12,IF(AE12=ASS!$J$25+1,SLN(ASS!$I$25,0,ASS!$J$25)*(12-AE14)/12,0)))))</f>
        <v>0</v>
      </c>
      <c r="AF33" s="429" t="n">
        <f aca="false">SUM(F33:AE33)</f>
        <v>0</v>
      </c>
      <c r="AG33" s="30"/>
    </row>
    <row r="34" customFormat="false" ht="12.75" hidden="false" customHeight="false" outlineLevel="0" collapsed="false">
      <c r="A34" s="29"/>
      <c r="B34" s="30" t="s">
        <v>394</v>
      </c>
      <c r="C34" s="95"/>
      <c r="D34" s="30"/>
      <c r="E34" s="213" t="n">
        <f aca="false">SUM(E31:E33)</f>
        <v>13000</v>
      </c>
      <c r="F34" s="212" t="n">
        <f aca="false">SUM(F31:F33)</f>
        <v>0</v>
      </c>
      <c r="G34" s="212" t="n">
        <f aca="false">G31</f>
        <v>0</v>
      </c>
      <c r="H34" s="212" t="n">
        <f aca="false">H31</f>
        <v>0</v>
      </c>
      <c r="I34" s="212" t="n">
        <f aca="false">I31</f>
        <v>0</v>
      </c>
      <c r="J34" s="212" t="n">
        <f aca="false">J31</f>
        <v>0</v>
      </c>
      <c r="K34" s="212" t="n">
        <f aca="false">K31</f>
        <v>0</v>
      </c>
      <c r="L34" s="212" t="n">
        <f aca="false">L31</f>
        <v>0</v>
      </c>
      <c r="M34" s="212" t="n">
        <f aca="false">M31</f>
        <v>0</v>
      </c>
      <c r="N34" s="212" t="n">
        <f aca="false">N31</f>
        <v>0</v>
      </c>
      <c r="O34" s="212" t="n">
        <f aca="false">O31</f>
        <v>0</v>
      </c>
      <c r="P34" s="212" t="n">
        <f aca="false">P31</f>
        <v>0</v>
      </c>
      <c r="Q34" s="212" t="n">
        <f aca="false">Q31</f>
        <v>0</v>
      </c>
      <c r="R34" s="212" t="n">
        <f aca="false">R31</f>
        <v>0</v>
      </c>
      <c r="S34" s="212" t="n">
        <f aca="false">S31</f>
        <v>0</v>
      </c>
      <c r="T34" s="212" t="n">
        <f aca="false">T31</f>
        <v>0</v>
      </c>
      <c r="U34" s="212" t="n">
        <f aca="false">U31</f>
        <v>0</v>
      </c>
      <c r="V34" s="212" t="n">
        <f aca="false">V31</f>
        <v>0</v>
      </c>
      <c r="W34" s="212" t="n">
        <f aca="false">W31</f>
        <v>0</v>
      </c>
      <c r="X34" s="212" t="n">
        <f aca="false">X31</f>
        <v>0</v>
      </c>
      <c r="Y34" s="212" t="n">
        <f aca="false">Y31</f>
        <v>0</v>
      </c>
      <c r="Z34" s="212" t="n">
        <f aca="false">Z31</f>
        <v>0</v>
      </c>
      <c r="AA34" s="212" t="n">
        <f aca="false">AA31</f>
        <v>0</v>
      </c>
      <c r="AB34" s="212" t="n">
        <f aca="false">AB31</f>
        <v>0</v>
      </c>
      <c r="AC34" s="212" t="n">
        <f aca="false">AC31</f>
        <v>0</v>
      </c>
      <c r="AD34" s="212" t="n">
        <f aca="false">AD31</f>
        <v>0</v>
      </c>
      <c r="AE34" s="212" t="n">
        <f aca="false">AE31</f>
        <v>0</v>
      </c>
      <c r="AF34" s="213" t="n">
        <f aca="false">SUM(F34:AE34)</f>
        <v>0</v>
      </c>
      <c r="AG34" s="30"/>
    </row>
    <row r="35" customFormat="false" ht="12.75" hidden="false" customHeight="false" outlineLevel="0" collapsed="false">
      <c r="A35" s="29"/>
      <c r="B35" s="136" t="s">
        <v>395</v>
      </c>
      <c r="C35" s="432"/>
      <c r="D35" s="136"/>
      <c r="E35" s="433"/>
      <c r="F35" s="434" t="n">
        <f aca="false">F34</f>
        <v>0</v>
      </c>
      <c r="G35" s="434" t="n">
        <f aca="false">F35+G34</f>
        <v>0</v>
      </c>
      <c r="H35" s="434" t="n">
        <f aca="false">G35+H34</f>
        <v>0</v>
      </c>
      <c r="I35" s="434" t="n">
        <f aca="false">H35+I34</f>
        <v>0</v>
      </c>
      <c r="J35" s="434" t="n">
        <f aca="false">I35+J34</f>
        <v>0</v>
      </c>
      <c r="K35" s="434" t="n">
        <f aca="false">J35+K34</f>
        <v>0</v>
      </c>
      <c r="L35" s="434" t="n">
        <f aca="false">K35+L34</f>
        <v>0</v>
      </c>
      <c r="M35" s="434" t="n">
        <f aca="false">L35+M34</f>
        <v>0</v>
      </c>
      <c r="N35" s="434" t="n">
        <f aca="false">M35+N34</f>
        <v>0</v>
      </c>
      <c r="O35" s="434" t="n">
        <f aca="false">N35+O34</f>
        <v>0</v>
      </c>
      <c r="P35" s="434" t="n">
        <f aca="false">O35+P34</f>
        <v>0</v>
      </c>
      <c r="Q35" s="434" t="n">
        <f aca="false">P35+Q34</f>
        <v>0</v>
      </c>
      <c r="R35" s="434" t="n">
        <f aca="false">Q35+R34</f>
        <v>0</v>
      </c>
      <c r="S35" s="434" t="n">
        <f aca="false">R35+S34</f>
        <v>0</v>
      </c>
      <c r="T35" s="434" t="n">
        <f aca="false">S35+T34</f>
        <v>0</v>
      </c>
      <c r="U35" s="434" t="n">
        <f aca="false">T35+U34</f>
        <v>0</v>
      </c>
      <c r="V35" s="434" t="n">
        <f aca="false">U35+V34</f>
        <v>0</v>
      </c>
      <c r="W35" s="434" t="n">
        <f aca="false">V35+W34</f>
        <v>0</v>
      </c>
      <c r="X35" s="434" t="n">
        <f aca="false">W35+X34</f>
        <v>0</v>
      </c>
      <c r="Y35" s="434" t="n">
        <f aca="false">X35+Y34</f>
        <v>0</v>
      </c>
      <c r="Z35" s="434" t="n">
        <f aca="false">Y35+Z34</f>
        <v>0</v>
      </c>
      <c r="AA35" s="434" t="n">
        <f aca="false">Z35+AA34</f>
        <v>0</v>
      </c>
      <c r="AB35" s="434" t="n">
        <f aca="false">AA35+AB34</f>
        <v>0</v>
      </c>
      <c r="AC35" s="434" t="n">
        <f aca="false">AB35+AC34</f>
        <v>0</v>
      </c>
      <c r="AD35" s="434" t="n">
        <f aca="false">AC35+AD34</f>
        <v>0</v>
      </c>
      <c r="AE35" s="434" t="n">
        <f aca="false">AD35+AE34</f>
        <v>0</v>
      </c>
      <c r="AF35" s="213"/>
      <c r="AG35" s="30"/>
    </row>
    <row r="36" customFormat="false" ht="12.75" hidden="false" customHeight="false" outlineLevel="0" collapsed="false">
      <c r="A36" s="29"/>
      <c r="B36" s="30"/>
      <c r="C36" s="95"/>
      <c r="D36" s="30"/>
      <c r="E36" s="213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3"/>
      <c r="AG36" s="30"/>
    </row>
    <row r="37" customFormat="false" ht="12.75" hidden="false" customHeight="false" outlineLevel="0" collapsed="false">
      <c r="A37" s="29"/>
      <c r="B37" s="30" t="s">
        <v>396</v>
      </c>
      <c r="C37" s="95"/>
      <c r="D37" s="30"/>
      <c r="E37" s="213"/>
      <c r="F37" s="212" t="n">
        <v>0</v>
      </c>
      <c r="G37" s="212" t="n">
        <f aca="false">F40</f>
        <v>13000</v>
      </c>
      <c r="H37" s="212" t="n">
        <f aca="false">G40</f>
        <v>13000</v>
      </c>
      <c r="I37" s="212" t="n">
        <f aca="false">H40</f>
        <v>13000</v>
      </c>
      <c r="J37" s="212" t="n">
        <f aca="false">I40</f>
        <v>13000</v>
      </c>
      <c r="K37" s="212" t="n">
        <f aca="false">J40</f>
        <v>13000</v>
      </c>
      <c r="L37" s="212" t="n">
        <f aca="false">K40</f>
        <v>13000</v>
      </c>
      <c r="M37" s="212" t="n">
        <f aca="false">L40</f>
        <v>13000</v>
      </c>
      <c r="N37" s="212" t="n">
        <f aca="false">M40</f>
        <v>13000</v>
      </c>
      <c r="O37" s="212" t="n">
        <f aca="false">N40</f>
        <v>13000</v>
      </c>
      <c r="P37" s="212" t="n">
        <f aca="false">O40</f>
        <v>13000</v>
      </c>
      <c r="Q37" s="212" t="n">
        <f aca="false">P40</f>
        <v>13000</v>
      </c>
      <c r="R37" s="212" t="n">
        <f aca="false">Q40</f>
        <v>13000</v>
      </c>
      <c r="S37" s="212" t="n">
        <f aca="false">R40</f>
        <v>13000</v>
      </c>
      <c r="T37" s="212" t="n">
        <f aca="false">S40</f>
        <v>13000</v>
      </c>
      <c r="U37" s="212" t="n">
        <f aca="false">T40</f>
        <v>13000</v>
      </c>
      <c r="V37" s="212" t="n">
        <f aca="false">U40</f>
        <v>13000</v>
      </c>
      <c r="W37" s="212" t="n">
        <f aca="false">V40</f>
        <v>13000</v>
      </c>
      <c r="X37" s="212" t="n">
        <f aca="false">W40</f>
        <v>13000</v>
      </c>
      <c r="Y37" s="212" t="n">
        <f aca="false">X40</f>
        <v>13000</v>
      </c>
      <c r="Z37" s="212" t="n">
        <f aca="false">Y40</f>
        <v>13000</v>
      </c>
      <c r="AA37" s="212" t="n">
        <f aca="false">Z40</f>
        <v>13000</v>
      </c>
      <c r="AB37" s="212" t="n">
        <f aca="false">AA40</f>
        <v>13000</v>
      </c>
      <c r="AC37" s="212" t="n">
        <f aca="false">AB40</f>
        <v>13000</v>
      </c>
      <c r="AD37" s="212" t="n">
        <f aca="false">AC40</f>
        <v>13000</v>
      </c>
      <c r="AE37" s="212" t="n">
        <f aca="false">AD40</f>
        <v>13000</v>
      </c>
      <c r="AF37" s="213"/>
      <c r="AG37" s="30"/>
    </row>
    <row r="38" customFormat="false" ht="12.75" hidden="false" customHeight="false" outlineLevel="0" collapsed="false">
      <c r="A38" s="29"/>
      <c r="B38" s="30" t="s">
        <v>389</v>
      </c>
      <c r="C38" s="30"/>
      <c r="D38" s="30"/>
      <c r="E38" s="213"/>
      <c r="F38" s="212" t="n">
        <f aca="false">E34</f>
        <v>13000</v>
      </c>
      <c r="G38" s="212" t="n">
        <v>0</v>
      </c>
      <c r="H38" s="212" t="n">
        <v>0</v>
      </c>
      <c r="I38" s="212" t="n">
        <v>0</v>
      </c>
      <c r="J38" s="212" t="n">
        <v>0</v>
      </c>
      <c r="K38" s="212" t="n">
        <v>0</v>
      </c>
      <c r="L38" s="212" t="n">
        <v>0</v>
      </c>
      <c r="M38" s="212" t="n">
        <v>0</v>
      </c>
      <c r="N38" s="212" t="n">
        <v>0</v>
      </c>
      <c r="O38" s="212" t="n">
        <v>0</v>
      </c>
      <c r="P38" s="212" t="n">
        <v>0</v>
      </c>
      <c r="Q38" s="212" t="n">
        <v>0</v>
      </c>
      <c r="R38" s="212" t="n">
        <v>0</v>
      </c>
      <c r="S38" s="212" t="n">
        <v>0</v>
      </c>
      <c r="T38" s="212" t="n">
        <v>0</v>
      </c>
      <c r="U38" s="212" t="n">
        <v>0</v>
      </c>
      <c r="V38" s="212" t="n">
        <v>0</v>
      </c>
      <c r="W38" s="212" t="n">
        <v>0</v>
      </c>
      <c r="X38" s="212" t="n">
        <v>0</v>
      </c>
      <c r="Y38" s="212" t="n">
        <v>0</v>
      </c>
      <c r="Z38" s="212" t="n">
        <v>0</v>
      </c>
      <c r="AA38" s="212" t="n">
        <v>0</v>
      </c>
      <c r="AB38" s="212" t="n">
        <v>0</v>
      </c>
      <c r="AC38" s="212" t="n">
        <v>0</v>
      </c>
      <c r="AD38" s="212" t="n">
        <v>0</v>
      </c>
      <c r="AE38" s="212" t="n">
        <v>0</v>
      </c>
      <c r="AF38" s="213" t="n">
        <f aca="false">SUM(F38:AE38)</f>
        <v>13000</v>
      </c>
      <c r="AG38" s="30"/>
    </row>
    <row r="39" customFormat="false" ht="12.75" hidden="false" customHeight="false" outlineLevel="0" collapsed="false">
      <c r="A39" s="29"/>
      <c r="B39" s="30" t="s">
        <v>390</v>
      </c>
      <c r="C39" s="30"/>
      <c r="D39" s="30"/>
      <c r="E39" s="213"/>
      <c r="F39" s="215" t="n">
        <f aca="false">-F34</f>
        <v>-0</v>
      </c>
      <c r="G39" s="215" t="n">
        <f aca="false">-G34</f>
        <v>-0</v>
      </c>
      <c r="H39" s="215" t="n">
        <f aca="false">-H34</f>
        <v>-0</v>
      </c>
      <c r="I39" s="215" t="n">
        <f aca="false">-I34</f>
        <v>-0</v>
      </c>
      <c r="J39" s="215" t="n">
        <f aca="false">-J34</f>
        <v>-0</v>
      </c>
      <c r="K39" s="215" t="n">
        <f aca="false">-K34</f>
        <v>-0</v>
      </c>
      <c r="L39" s="215" t="n">
        <f aca="false">-L34</f>
        <v>-0</v>
      </c>
      <c r="M39" s="215" t="n">
        <f aca="false">-M34</f>
        <v>-0</v>
      </c>
      <c r="N39" s="215" t="n">
        <f aca="false">-N34</f>
        <v>-0</v>
      </c>
      <c r="O39" s="215" t="n">
        <f aca="false">-O34</f>
        <v>-0</v>
      </c>
      <c r="P39" s="215" t="n">
        <f aca="false">-P34</f>
        <v>-0</v>
      </c>
      <c r="Q39" s="215" t="n">
        <f aca="false">-Q34</f>
        <v>-0</v>
      </c>
      <c r="R39" s="215" t="n">
        <f aca="false">-R34</f>
        <v>-0</v>
      </c>
      <c r="S39" s="215" t="n">
        <f aca="false">-S34</f>
        <v>-0</v>
      </c>
      <c r="T39" s="215" t="n">
        <f aca="false">-T34</f>
        <v>-0</v>
      </c>
      <c r="U39" s="215" t="n">
        <f aca="false">-U34</f>
        <v>-0</v>
      </c>
      <c r="V39" s="215" t="n">
        <f aca="false">-V34</f>
        <v>-0</v>
      </c>
      <c r="W39" s="215" t="n">
        <f aca="false">-W34</f>
        <v>-0</v>
      </c>
      <c r="X39" s="215" t="n">
        <f aca="false">-X34</f>
        <v>-0</v>
      </c>
      <c r="Y39" s="215" t="n">
        <f aca="false">-Y34</f>
        <v>-0</v>
      </c>
      <c r="Z39" s="215" t="n">
        <f aca="false">-Z34</f>
        <v>-0</v>
      </c>
      <c r="AA39" s="215" t="n">
        <f aca="false">-AA34</f>
        <v>-0</v>
      </c>
      <c r="AB39" s="215" t="n">
        <f aca="false">-AB34</f>
        <v>-0</v>
      </c>
      <c r="AC39" s="215" t="n">
        <f aca="false">-AC34</f>
        <v>-0</v>
      </c>
      <c r="AD39" s="215" t="n">
        <f aca="false">-AD34</f>
        <v>-0</v>
      </c>
      <c r="AE39" s="215" t="n">
        <f aca="false">-AE34</f>
        <v>-0</v>
      </c>
      <c r="AF39" s="213" t="n">
        <f aca="false">SUM(F39:AE39)</f>
        <v>0</v>
      </c>
      <c r="AG39" s="30"/>
    </row>
    <row r="40" customFormat="false" ht="12.75" hidden="false" customHeight="false" outlineLevel="0" collapsed="false">
      <c r="A40" s="57"/>
      <c r="B40" s="58" t="s">
        <v>397</v>
      </c>
      <c r="C40" s="58" t="s">
        <v>1</v>
      </c>
      <c r="D40" s="58"/>
      <c r="E40" s="431"/>
      <c r="F40" s="303" t="n">
        <f aca="false">SUM(F37:F39)</f>
        <v>13000</v>
      </c>
      <c r="G40" s="303" t="n">
        <f aca="false">SUM(G37:G39)</f>
        <v>13000</v>
      </c>
      <c r="H40" s="303" t="n">
        <f aca="false">SUM(H37:H39)</f>
        <v>13000</v>
      </c>
      <c r="I40" s="303" t="n">
        <f aca="false">SUM(I37:I39)</f>
        <v>13000</v>
      </c>
      <c r="J40" s="303" t="n">
        <f aca="false">SUM(J37:J39)</f>
        <v>13000</v>
      </c>
      <c r="K40" s="303" t="n">
        <f aca="false">SUM(K37:K39)</f>
        <v>13000</v>
      </c>
      <c r="L40" s="303" t="n">
        <f aca="false">SUM(L37:L39)</f>
        <v>13000</v>
      </c>
      <c r="M40" s="303" t="n">
        <f aca="false">SUM(M37:M39)</f>
        <v>13000</v>
      </c>
      <c r="N40" s="303" t="n">
        <f aca="false">SUM(N37:N39)</f>
        <v>13000</v>
      </c>
      <c r="O40" s="303" t="n">
        <f aca="false">SUM(O37:O39)</f>
        <v>13000</v>
      </c>
      <c r="P40" s="303" t="n">
        <f aca="false">SUM(P37:P39)</f>
        <v>13000</v>
      </c>
      <c r="Q40" s="303" t="n">
        <f aca="false">SUM(Q37:Q39)</f>
        <v>13000</v>
      </c>
      <c r="R40" s="303" t="n">
        <f aca="false">SUM(R37:R39)</f>
        <v>13000</v>
      </c>
      <c r="S40" s="303" t="n">
        <f aca="false">SUM(S37:S39)</f>
        <v>13000</v>
      </c>
      <c r="T40" s="303" t="n">
        <f aca="false">SUM(T37:T39)</f>
        <v>13000</v>
      </c>
      <c r="U40" s="303" t="n">
        <f aca="false">SUM(U37:U39)</f>
        <v>13000</v>
      </c>
      <c r="V40" s="303" t="n">
        <f aca="false">SUM(V37:V39)</f>
        <v>13000</v>
      </c>
      <c r="W40" s="303" t="n">
        <f aca="false">SUM(W37:W39)</f>
        <v>13000</v>
      </c>
      <c r="X40" s="303" t="n">
        <f aca="false">SUM(X37:X39)</f>
        <v>13000</v>
      </c>
      <c r="Y40" s="303" t="n">
        <f aca="false">SUM(Y37:Y39)</f>
        <v>13000</v>
      </c>
      <c r="Z40" s="303" t="n">
        <f aca="false">SUM(Z37:Z39)</f>
        <v>13000</v>
      </c>
      <c r="AA40" s="303" t="n">
        <f aca="false">SUM(AA37:AA39)</f>
        <v>13000</v>
      </c>
      <c r="AB40" s="303" t="n">
        <f aca="false">SUM(AB37:AB39)</f>
        <v>13000</v>
      </c>
      <c r="AC40" s="303" t="n">
        <f aca="false">SUM(AC37:AC39)</f>
        <v>13000</v>
      </c>
      <c r="AD40" s="303" t="n">
        <f aca="false">SUM(AD37:AD39)</f>
        <v>13000</v>
      </c>
      <c r="AE40" s="303" t="n">
        <f aca="false">SUM(AE37:AE39)</f>
        <v>13000</v>
      </c>
      <c r="AF40" s="431"/>
      <c r="AG40" s="30"/>
    </row>
    <row r="41" customFormat="false" ht="12.75" hidden="false" customHeight="false" outlineLevel="0" collapsed="false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</row>
    <row r="42" customFormat="false" ht="12.75" hidden="false" customHeight="false" outlineLevel="0" collapsed="false">
      <c r="A42" s="367" t="s">
        <v>398</v>
      </c>
      <c r="B42" s="392"/>
      <c r="C42" s="392"/>
      <c r="D42" s="15"/>
      <c r="E42" s="19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94"/>
      <c r="AG42" s="95"/>
    </row>
    <row r="43" customFormat="false" ht="12.75" hidden="false" customHeight="false" outlineLevel="0" collapsed="false">
      <c r="A43" s="29" t="s">
        <v>393</v>
      </c>
      <c r="B43" s="30"/>
      <c r="C43" s="30"/>
      <c r="D43" s="30"/>
      <c r="E43" s="207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207"/>
      <c r="AG43" s="95"/>
    </row>
    <row r="44" customFormat="false" ht="12.75" hidden="false" customHeight="false" outlineLevel="0" collapsed="false">
      <c r="A44" s="29"/>
      <c r="B44" s="30" t="s">
        <v>71</v>
      </c>
      <c r="C44" s="30"/>
      <c r="D44" s="30"/>
      <c r="E44" s="213" t="n">
        <f aca="false">ASS!I27</f>
        <v>13000</v>
      </c>
      <c r="F44" s="212" t="n">
        <f aca="false">IF(ASS!$J$27=0,0,IF(F12&lt;ASS!$J$27,SLN(ASS!$I$27,0,ASS!$J$27)*F14/12,IF(F12=ASS!$J$27,SLN(ASS!$I$27,0,ASS!$J$27)*(12-F14)/12,0)))</f>
        <v>0</v>
      </c>
      <c r="G44" s="409" t="n">
        <f aca="false">IF(ASS!$J$27=0,0,IF(G12=ASS!$J$27,$E$44-SUM($F$44:F44),IF(G12&gt;TERM,0,IF(G12&lt;ASS!$J$27,SLN(ASS!$I$27,0,ASS!$J$27)*G14/12,IF(G12=ASS!$J$27,SLN(ASS!$I$27,0,ASS!$J$27)*(12-G14)/12,0)))))</f>
        <v>0</v>
      </c>
      <c r="H44" s="212" t="n">
        <f aca="false">IF(ASS!$J$27=0,0,IF(H12=ASS!$J$27,$E$44-SUM($F$44:G44),IF(H12&gt;TERM,0,IF(H12&lt;ASS!$J$27,SLN(ASS!$I$27,0,ASS!$J$27)*H14/12,IF(H12=ASS!$J$27,SLN(ASS!$I$27,0,ASS!$J$27)*(12-H14)/12,0)))))</f>
        <v>0</v>
      </c>
      <c r="I44" s="212" t="n">
        <f aca="false">IF(ASS!$J$27=0,0,IF(I12=ASS!$J$27,$E$44-SUM($F$44:H44),IF(I12&gt;TERM,0,IF(I12&lt;ASS!$J$27,SLN(ASS!$I$27,0,ASS!$J$27)*I14/12,IF(I12=ASS!$J$27,SLN(ASS!$I$27,0,ASS!$J$27)*(12-I14)/12,0)))))</f>
        <v>0</v>
      </c>
      <c r="J44" s="212" t="n">
        <f aca="false">IF(ASS!$J$27=0,0,IF(J12=ASS!$J$27,$E$44-SUM($F$44:I44),IF(J12&gt;TERM,0,IF(J12&lt;ASS!$J$27,SLN(ASS!$I$27,0,ASS!$J$27)*J14/12,IF(J12=ASS!$J$27,SLN(ASS!$I$27,0,ASS!$J$27)*(12-J14)/12,0)))))</f>
        <v>0</v>
      </c>
      <c r="K44" s="212" t="n">
        <f aca="false">IF(ASS!$J$27=0,0,IF(K12=ASS!$J$27,$E$44-SUM($F$44:J44),IF(K12&gt;TERM,0,IF(K12&lt;ASS!$J$27,SLN(ASS!$I$27,0,ASS!$J$27)*K14/12,IF(K12=ASS!$J$27,SLN(ASS!$I$27,0,ASS!$J$27)*(12-K14)/12,0)))))</f>
        <v>0</v>
      </c>
      <c r="L44" s="212" t="n">
        <f aca="false">IF(ASS!$J$27=0,0,IF(L12=ASS!$J$27,$E$44-SUM($F$44:K44),IF(L12&gt;TERM,0,IF(L12&lt;ASS!$J$27,SLN(ASS!$I$27,0,ASS!$J$27)*L14/12,IF(L12=ASS!$J$27,SLN(ASS!$I$27,0,ASS!$J$27)*(12-L14)/12,0)))))</f>
        <v>0</v>
      </c>
      <c r="M44" s="212" t="n">
        <f aca="false">IF(ASS!$J$27=0,0,IF(M12=ASS!$J$27,$E$44-SUM($F$44:L44),IF(M12&gt;TERM,0,IF(M12&lt;ASS!$J$27,SLN(ASS!$I$27,0,ASS!$J$27)*M14/12,IF(M12=ASS!$J$27,SLN(ASS!$I$27,0,ASS!$J$27)*(12-M14)/12,0)))))</f>
        <v>0</v>
      </c>
      <c r="N44" s="212" t="n">
        <f aca="false">IF(ASS!$J$27=0,0,IF(N12=ASS!$J$27,$E$44-SUM($F$44:M44),IF(N12&gt;TERM,0,IF(N12&lt;ASS!$J$27,SLN(ASS!$I$27,0,ASS!$J$27)*N14/12,IF(N12=ASS!$J$27,SLN(ASS!$I$27,0,ASS!$J$27)*(12-N14)/12,0)))))</f>
        <v>0</v>
      </c>
      <c r="O44" s="212" t="n">
        <f aca="false">IF(ASS!$J$27=0,0,IF(O12=ASS!$J$27,$E$44-SUM($F$44:N44),IF(O12&gt;TERM,0,IF(O12&lt;ASS!$J$27,SLN(ASS!$I$27,0,ASS!$J$27)*O14/12,IF(O12=ASS!$J$27,SLN(ASS!$I$27,0,ASS!$J$27)*(12-O14)/12,0)))))</f>
        <v>0</v>
      </c>
      <c r="P44" s="212" t="n">
        <f aca="false">IF(ASS!$J$27=0,0,IF(P12=ASS!$J$27,$E$44-SUM($F$44:O44),IF(P12&gt;TERM,0,IF(P12&lt;ASS!$J$27,SLN(ASS!$I$27,0,ASS!$J$27)*P14/12,IF(P12=ASS!$J$27,SLN(ASS!$I$27,0,ASS!$J$27)*(12-P14)/12,0)))))</f>
        <v>0</v>
      </c>
      <c r="Q44" s="212" t="n">
        <f aca="false">IF(ASS!$J$27=0,0,IF(Q12=ASS!$J$27,$E$44-SUM($F$44:P44),IF(Q12&gt;TERM,0,IF(Q12&lt;ASS!$J$27,SLN(ASS!$I$27,0,ASS!$J$27)*Q14/12,IF(Q12=ASS!$J$27,SLN(ASS!$I$27,0,ASS!$J$27)*(12-Q14)/12,0)))))</f>
        <v>0</v>
      </c>
      <c r="R44" s="212" t="n">
        <f aca="false">IF(ASS!$J$27=0,0,IF(R12=ASS!$J$27,$E$44-SUM($F$44:Q44),IF(R12&gt;TERM,0,IF(R12&lt;ASS!$J$27,SLN(ASS!$I$27,0,ASS!$J$27)*R14/12,IF(R12=ASS!$J$27,SLN(ASS!$I$27,0,ASS!$J$27)*(12-R14)/12,0)))))</f>
        <v>0</v>
      </c>
      <c r="S44" s="212" t="n">
        <f aca="false">IF(ASS!$J$27=0,0,IF(S12=ASS!$J$27,$E$44-SUM($F$44:R44),IF(S12&gt;TERM,0,IF(S12&lt;ASS!$J$27,SLN(ASS!$I$27,0,ASS!$J$27)*S14/12,IF(S12=ASS!$J$27,SLN(ASS!$I$27,0,ASS!$J$27)*(12-S14)/12,0)))))</f>
        <v>0</v>
      </c>
      <c r="T44" s="212" t="n">
        <f aca="false">IF(ASS!$J$27=0,0,IF(T12=ASS!$J$27,$E$44-SUM($F$44:S44),IF(T12&gt;TERM,0,IF(T12&lt;ASS!$J$27,SLN(ASS!$I$27,0,ASS!$J$27)*T14/12,IF(T12=ASS!$J$27,SLN(ASS!$I$27,0,ASS!$J$27)*(12-T14)/12,0)))))</f>
        <v>0</v>
      </c>
      <c r="U44" s="212" t="n">
        <f aca="false">IF(ASS!$J$27=0,0,IF(U12=ASS!$J$27,$E$44-SUM($F$44:T44),IF(U12&gt;TERM,0,IF(U12&lt;ASS!$J$27,SLN(ASS!$I$27,0,ASS!$J$27)*U14/12,IF(U12=ASS!$J$27,SLN(ASS!$I$27,0,ASS!$J$27)*(12-U14)/12,0)))))</f>
        <v>0</v>
      </c>
      <c r="V44" s="212" t="n">
        <f aca="false">IF(ASS!$J$27=0,0,IF(V12=ASS!$J$27,$E$44-SUM($F$44:U44),IF(V12&gt;TERM,0,IF(V12&lt;ASS!$J$27,SLN(ASS!$I$27,0,ASS!$J$27)*V14/12,IF(V12=ASS!$J$27,SLN(ASS!$I$27,0,ASS!$J$27)*(12-V14)/12,0)))))</f>
        <v>0</v>
      </c>
      <c r="W44" s="212" t="n">
        <f aca="false">IF(ASS!$J$27=0,0,IF(W12=ASS!$J$27,$E$44-SUM($F$44:V44),IF(W12&gt;TERM,0,IF(W12&lt;ASS!$J$27,SLN(ASS!$I$27,0,ASS!$J$27)*W14/12,IF(W12=ASS!$J$27,SLN(ASS!$I$27,0,ASS!$J$27)*(12-W14)/12,0)))))</f>
        <v>0</v>
      </c>
      <c r="X44" s="212" t="n">
        <f aca="false">IF(ASS!$J$27=0,0,IF(X12=ASS!$J$27,$E$44-SUM($F$44:W44),IF(X12&gt;TERM,0,IF(X12&lt;ASS!$J$27,SLN(ASS!$I$27,0,ASS!$J$27)*X14/12,IF(X12=ASS!$J$27,SLN(ASS!$I$27,0,ASS!$J$27)*(12-X14)/12,0)))))</f>
        <v>0</v>
      </c>
      <c r="Y44" s="212" t="n">
        <f aca="false">IF(ASS!$J$27=0,0,IF(Y12=ASS!$J$27,$E$44-SUM($F$44:X44),IF(Y12&gt;TERM,0,IF(Y12&lt;ASS!$J$27,SLN(ASS!$I$27,0,ASS!$J$27)*Y14/12,IF(Y12=ASS!$J$27,SLN(ASS!$I$27,0,ASS!$J$27)*(12-Y14)/12,0)))))</f>
        <v>0</v>
      </c>
      <c r="Z44" s="212" t="n">
        <f aca="false">IF(ASS!$J$27=0,0,IF(Z12=ASS!$J$27,$E$44-SUM($F$44:Y44),IF(Z12&gt;TERM,0,IF(Z12&lt;ASS!$J$27,SLN(ASS!$I$27,0,ASS!$J$27)*Z14/12,IF(Z12=ASS!$J$27,SLN(ASS!$I$27,0,ASS!$J$27)*(12-Z14)/12,0)))))</f>
        <v>0</v>
      </c>
      <c r="AA44" s="212" t="n">
        <f aca="false">IF(ASS!$J$27=0,0,IF(AA12=ASS!$J$27,$E$44-SUM($F$44:Z44),IF(AA12&gt;TERM,0,IF(AA12&lt;ASS!$J$27,SLN(ASS!$I$27,0,ASS!$J$27)*AA14/12,IF(AA12=ASS!$J$27,SLN(ASS!$I$27,0,ASS!$J$27)*(12-AA14)/12,0)))))</f>
        <v>0</v>
      </c>
      <c r="AB44" s="212" t="n">
        <f aca="false">IF(ASS!$J$27=0,0,IF(AB12=ASS!$J$27,$E$44-SUM($F$44:AA44),IF(AB12&gt;TERM,0,IF(AB12&lt;ASS!$J$27,SLN(ASS!$I$27,0,ASS!$J$27)*AB14/12,IF(AB12=ASS!$J$27,SLN(ASS!$I$27,0,ASS!$J$27)*(12-AB14)/12,0)))))</f>
        <v>0</v>
      </c>
      <c r="AC44" s="212" t="n">
        <f aca="false">IF(ASS!$J$27=0,0,IF(AC12=ASS!$J$27,$E$44-SUM($F$44:AB44),IF(AC12&gt;TERM,0,IF(AC12&lt;ASS!$J$27,SLN(ASS!$I$27,0,ASS!$J$27)*AC14/12,IF(AC12=ASS!$J$27,SLN(ASS!$I$27,0,ASS!$J$27)*(12-AC14)/12,0)))))</f>
        <v>0</v>
      </c>
      <c r="AD44" s="212" t="n">
        <f aca="false">IF(ASS!$J$27=0,0,IF(AD12=ASS!$J$27,$E$44-SUM($F$44:AC44),IF(AD12&gt;TERM,0,IF(AD12&lt;ASS!$J$27,SLN(ASS!$I$27,0,ASS!$J$27)*AD14/12,IF(AD12=ASS!$J$27,SLN(ASS!$I$27,0,ASS!$J$27)*(12-AD14)/12,0)))))</f>
        <v>0</v>
      </c>
      <c r="AE44" s="212" t="n">
        <f aca="false">IF(ASS!$J$27=0,0,IF(AE12=ASS!$J$27,$E$44-SUM($F$44:AD44),IF(AE12&gt;TERM,0,IF(AE12&lt;ASS!$J$27,SLN(ASS!$I$27,0,ASS!$J$27)*AE14/12,IF(AE12=ASS!$J$27,SLN(ASS!$I$27,0,ASS!$J$27)*(12-AE14)/12,0)))))</f>
        <v>0</v>
      </c>
      <c r="AF44" s="213" t="n">
        <f aca="false">SUM(F44:AE44)</f>
        <v>0</v>
      </c>
      <c r="AG44" s="95"/>
    </row>
    <row r="45" customFormat="false" ht="12.75" hidden="false" customHeight="false" outlineLevel="0" collapsed="false">
      <c r="A45" s="29"/>
      <c r="B45" s="30" t="s">
        <v>75</v>
      </c>
      <c r="C45" s="30"/>
      <c r="D45" s="30"/>
      <c r="E45" s="213" t="n">
        <f aca="false">ASS!I28</f>
        <v>0</v>
      </c>
      <c r="F45" s="212" t="n">
        <f aca="false">IF(ASS!$J$28=0,0,IF(F12&lt;ASS!$J$28,SLN(ASS!$I$28,0,ASS!$J$28)*F14/12,IF(F12=ASS!$J$28,SLN(ASS!$I$28,0,ASS!$J$28)*(12-F14)/12,0)))</f>
        <v>0</v>
      </c>
      <c r="G45" s="409" t="n">
        <f aca="false">IF(ASS!$J$28=0,0,IF(G12=ASS!$J$28,$E$45-SUM($F$45:F45),IF(G12&gt;TERM,0,IF(G12&lt;ASS!$J$28,SLN(ASS!$I$28,0,ASS!$J$28)*G14/12,IF(G12=ASS!$J$28,SLN(ASS!$I$28,0,ASS!$J$28)*(12-G14)/12,0)))))</f>
        <v>0</v>
      </c>
      <c r="H45" s="212" t="n">
        <f aca="false">IF(ASS!$J$28=0,0,IF(H12=ASS!$J$28,$E$45-SUM($F$45:G45),IF(H12&gt;TERM,0,IF(H12&lt;ASS!$J$28,SLN(ASS!$I$28,0,ASS!$J$28)*H14/12,IF(H12=ASS!$J$28,SLN(ASS!$I$28,0,ASS!$J$28)*(12-H14)/12,0)))))</f>
        <v>0</v>
      </c>
      <c r="I45" s="212" t="n">
        <f aca="false">IF(ASS!$J$28=0,0,IF(I12=ASS!$J$28,$E$45-SUM($F$45:H45),IF(I12&gt;TERM,0,IF(I12&lt;ASS!$J$28,SLN(ASS!$I$28,0,ASS!$J$28)*I14/12,IF(I12=ASS!$J$28,SLN(ASS!$I$28,0,ASS!$J$28)*(12-I14)/12,0)))))</f>
        <v>0</v>
      </c>
      <c r="J45" s="212" t="n">
        <f aca="false">IF(ASS!$J$28=0,0,IF(J12=ASS!$J$28,$E$45-SUM($F$45:I45),IF(J12&gt;TERM,0,IF(J12&lt;ASS!$J$28,SLN(ASS!$I$28,0,ASS!$J$28)*J14/12,IF(J12=ASS!$J$28,SLN(ASS!$I$28,0,ASS!$J$28)*(12-J14)/12,0)))))</f>
        <v>0</v>
      </c>
      <c r="K45" s="212" t="n">
        <f aca="false">IF(ASS!$J$28=0,0,IF(K12=ASS!$J$28,$E$45-SUM($F$45:J45),IF(K12&gt;TERM,0,IF(K12&lt;ASS!$J$28,SLN(ASS!$I$28,0,ASS!$J$28)*K14/12,IF(K12=ASS!$J$28,SLN(ASS!$I$28,0,ASS!$J$28)*(12-K14)/12,0)))))</f>
        <v>0</v>
      </c>
      <c r="L45" s="212" t="n">
        <f aca="false">IF(ASS!$J$28=0,0,IF(L12=ASS!$J$28,$E$45-SUM($F$45:K45),IF(L12&gt;TERM,0,IF(L12&lt;ASS!$J$28,SLN(ASS!$I$28,0,ASS!$J$28)*L14/12,IF(L12=ASS!$J$28,SLN(ASS!$I$28,0,ASS!$J$28)*(12-L14)/12,0)))))</f>
        <v>0</v>
      </c>
      <c r="M45" s="212" t="n">
        <f aca="false">IF(ASS!$J$28=0,0,IF(M12=ASS!$J$28,$E$45-SUM($F$45:L45),IF(M12&gt;TERM,0,IF(M12&lt;ASS!$J$28,SLN(ASS!$I$28,0,ASS!$J$28)*M14/12,IF(M12=ASS!$J$28,SLN(ASS!$I$28,0,ASS!$J$28)*(12-M14)/12,0)))))</f>
        <v>0</v>
      </c>
      <c r="N45" s="212" t="n">
        <f aca="false">IF(ASS!$J$28=0,0,IF(N12=ASS!$J$28,$E$45-SUM($F$45:M45),IF(N12&gt;TERM,0,IF(N12&lt;ASS!$J$28,SLN(ASS!$I$28,0,ASS!$J$28)*N14/12,IF(N12=ASS!$J$28,SLN(ASS!$I$28,0,ASS!$J$28)*(12-N14)/12,0)))))</f>
        <v>0</v>
      </c>
      <c r="O45" s="212" t="n">
        <f aca="false">IF(ASS!$J$28=0,0,IF(O12=ASS!$J$28,$E$45-SUM($F$45:N45),IF(O12&gt;TERM,0,IF(O12&lt;ASS!$J$28,SLN(ASS!$I$28,0,ASS!$J$28)*O14/12,IF(O12=ASS!$J$28,SLN(ASS!$I$28,0,ASS!$J$28)*(12-O14)/12,0)))))</f>
        <v>0</v>
      </c>
      <c r="P45" s="212" t="n">
        <f aca="false">IF(ASS!$J$28=0,0,IF(P12=ASS!$J$28,$E$45-SUM($F$45:O45),IF(P12&gt;TERM,0,IF(P12&lt;ASS!$J$28,SLN(ASS!$I$28,0,ASS!$J$28)*P14/12,IF(P12=ASS!$J$28,SLN(ASS!$I$28,0,ASS!$J$28)*(12-P14)/12,0)))))</f>
        <v>0</v>
      </c>
      <c r="Q45" s="212" t="n">
        <f aca="false">IF(ASS!$J$28=0,0,IF(Q12=ASS!$J$28,$E$45-SUM($F$45:P45),IF(Q12&gt;TERM,0,IF(Q12&lt;ASS!$J$28,SLN(ASS!$I$28,0,ASS!$J$28)*Q14/12,IF(Q12=ASS!$J$28,SLN(ASS!$I$28,0,ASS!$J$28)*(12-Q14)/12,0)))))</f>
        <v>0</v>
      </c>
      <c r="R45" s="212" t="n">
        <f aca="false">IF(ASS!$J$28=0,0,IF(R12=ASS!$J$28,$E$45-SUM($F$45:Q45),IF(R12&gt;TERM,0,IF(R12&lt;ASS!$J$28,SLN(ASS!$I$28,0,ASS!$J$28)*R14/12,IF(R12=ASS!$J$28,SLN(ASS!$I$28,0,ASS!$J$28)*(12-R14)/12,0)))))</f>
        <v>0</v>
      </c>
      <c r="S45" s="212" t="n">
        <f aca="false">IF(ASS!$J$28=0,0,IF(S12=ASS!$J$28,$E$45-SUM($F$45:R45),IF(S12&gt;TERM,0,IF(S12&lt;ASS!$J$28,SLN(ASS!$I$28,0,ASS!$J$28)*S14/12,IF(S12=ASS!$J$28,SLN(ASS!$I$28,0,ASS!$J$28)*(12-S14)/12,0)))))</f>
        <v>0</v>
      </c>
      <c r="T45" s="212" t="n">
        <f aca="false">IF(ASS!$J$28=0,0,IF(T12=ASS!$J$28,$E$45-SUM($F$45:S45),IF(T12&gt;TERM,0,IF(T12&lt;ASS!$J$28,SLN(ASS!$I$28,0,ASS!$J$28)*T14/12,IF(T12=ASS!$J$28,SLN(ASS!$I$28,0,ASS!$J$28)*(12-T14)/12,0)))))</f>
        <v>0</v>
      </c>
      <c r="U45" s="212" t="n">
        <f aca="false">IF(ASS!$J$28=0,0,IF(U12=ASS!$J$28,$E$45-SUM($F$45:T45),IF(U12&gt;TERM,0,IF(U12&lt;ASS!$J$28,SLN(ASS!$I$28,0,ASS!$J$28)*U14/12,IF(U12=ASS!$J$28,SLN(ASS!$I$28,0,ASS!$J$28)*(12-U14)/12,0)))))</f>
        <v>0</v>
      </c>
      <c r="V45" s="212" t="n">
        <f aca="false">IF(ASS!$J$28=0,0,IF(V12=ASS!$J$28,$E$45-SUM($F$45:U45),IF(V12&gt;TERM,0,IF(V12&lt;ASS!$J$28,SLN(ASS!$I$28,0,ASS!$J$28)*V14/12,IF(V12=ASS!$J$28,SLN(ASS!$I$28,0,ASS!$J$28)*(12-V14)/12,0)))))</f>
        <v>0</v>
      </c>
      <c r="W45" s="212" t="n">
        <f aca="false">IF(ASS!$J$28=0,0,IF(W12=ASS!$J$28,$E$45-SUM($F$45:V45),IF(W12&gt;TERM,0,IF(W12&lt;ASS!$J$28,SLN(ASS!$I$28,0,ASS!$J$28)*W14/12,IF(W12=ASS!$J$28,SLN(ASS!$I$28,0,ASS!$J$28)*(12-W14)/12,0)))))</f>
        <v>0</v>
      </c>
      <c r="X45" s="212" t="n">
        <f aca="false">IF(ASS!$J$28=0,0,IF(X12=ASS!$J$28,$E$45-SUM($F$45:W45),IF(X12&gt;TERM,0,IF(X12&lt;ASS!$J$28,SLN(ASS!$I$28,0,ASS!$J$28)*X14/12,IF(X12=ASS!$J$28,SLN(ASS!$I$28,0,ASS!$J$28)*(12-X14)/12,0)))))</f>
        <v>0</v>
      </c>
      <c r="Y45" s="212" t="n">
        <f aca="false">IF(ASS!$J$28=0,0,IF(Y12=ASS!$J$28,$E$45-SUM($F$45:X45),IF(Y12&gt;TERM,0,IF(Y12&lt;ASS!$J$28,SLN(ASS!$I$28,0,ASS!$J$28)*Y14/12,IF(Y12=ASS!$J$28,SLN(ASS!$I$28,0,ASS!$J$28)*(12-Y14)/12,0)))))</f>
        <v>0</v>
      </c>
      <c r="Z45" s="212" t="n">
        <f aca="false">IF(ASS!$J$28=0,0,IF(Z12=ASS!$J$28,$E$45-SUM($F$45:Y45),IF(Z12&gt;TERM,0,IF(Z12&lt;ASS!$J$28,SLN(ASS!$I$28,0,ASS!$J$28)*Z14/12,IF(Z12=ASS!$J$28,SLN(ASS!$I$28,0,ASS!$J$28)*(12-Z14)/12,0)))))</f>
        <v>0</v>
      </c>
      <c r="AA45" s="212" t="n">
        <f aca="false">IF(ASS!$J$28=0,0,IF(AA12=ASS!$J$28,$E$45-SUM($F$45:Z45),IF(AA12&gt;TERM,0,IF(AA12&lt;ASS!$J$28,SLN(ASS!$I$28,0,ASS!$J$28)*AA14/12,IF(AA12=ASS!$J$28,SLN(ASS!$I$28,0,ASS!$J$28)*(12-AA14)/12,0)))))</f>
        <v>0</v>
      </c>
      <c r="AB45" s="212" t="n">
        <f aca="false">IF(ASS!$J$28=0,0,IF(AB12=ASS!$J$28,$E$45-SUM($F$45:AA45),IF(AB12&gt;TERM,0,IF(AB12&lt;ASS!$J$28,SLN(ASS!$I$28,0,ASS!$J$28)*AB14/12,IF(AB12=ASS!$J$28,SLN(ASS!$I$28,0,ASS!$J$28)*(12-AB14)/12,0)))))</f>
        <v>0</v>
      </c>
      <c r="AC45" s="212" t="n">
        <f aca="false">IF(ASS!$J$28=0,0,IF(AC12=ASS!$J$28,$E$45-SUM($F$45:AB45),IF(AC12&gt;TERM,0,IF(AC12&lt;ASS!$J$28,SLN(ASS!$I$28,0,ASS!$J$28)*AC14/12,IF(AC12=ASS!$J$28,SLN(ASS!$I$28,0,ASS!$J$28)*(12-AC14)/12,0)))))</f>
        <v>0</v>
      </c>
      <c r="AD45" s="212" t="n">
        <f aca="false">IF(ASS!$J$28=0,0,IF(AD12=ASS!$J$28,$E$45-SUM($F$45:AC45),IF(AD12&gt;TERM,0,IF(AD12&lt;ASS!$J$28,SLN(ASS!$I$28,0,ASS!$J$28)*AD14/12,IF(AD12=ASS!$J$28,SLN(ASS!$I$28,0,ASS!$J$28)*(12-AD14)/12,0)))))</f>
        <v>0</v>
      </c>
      <c r="AE45" s="212" t="n">
        <f aca="false">IF(ASS!$J$28=0,0,IF(AE12=ASS!$J$28,$E$45-SUM($F$45:AD45),IF(AE12&gt;TERM,0,IF(AE12&lt;ASS!$J$28,SLN(ASS!$I$28,0,ASS!$J$28)*AE14/12,IF(AE12=ASS!$J$28,SLN(ASS!$I$28,0,ASS!$J$28)*(12-AE14)/12,0)))))</f>
        <v>0</v>
      </c>
      <c r="AF45" s="213" t="n">
        <f aca="false">SUM(E45:AE45)</f>
        <v>0</v>
      </c>
      <c r="AG45" s="0"/>
    </row>
    <row r="46" customFormat="false" ht="12.75" hidden="false" customHeight="false" outlineLevel="0" collapsed="false">
      <c r="A46" s="29"/>
      <c r="B46" s="30" t="s">
        <v>81</v>
      </c>
      <c r="C46" s="30"/>
      <c r="D46" s="30"/>
      <c r="E46" s="429" t="n">
        <f aca="false">ASS!I29</f>
        <v>0</v>
      </c>
      <c r="F46" s="416" t="n">
        <f aca="false">IF(ASS!$J$29=0,0,IF(F12&lt;ASS!$J$29,SLN(ASS!$I$29,0,ASS!$J$29)*F14/12,IF(F12=ASS!$J$29,SLN(ASS!$I$29,0,ASS!$J$29)*(12-F14)/12,0)))</f>
        <v>0</v>
      </c>
      <c r="G46" s="435" t="n">
        <f aca="false">IF(ASS!$J$29=0,0,IF(G12=ASS!$J$29,$E$46-SUM($F$46:F46),IF(G12&gt;TERM,0,IF(G12&lt;ASS!$J$29,SLN(ASS!$I$29,0,ASS!$J$29)*G14/12,IF(G12=ASS!$J$29,SLN(ASS!$I$29,0,ASS!$J$29)*(12-G14)/12,0)))))</f>
        <v>0</v>
      </c>
      <c r="H46" s="416" t="n">
        <f aca="false">IF(ASS!$J$29=0,0,IF(H12=ASS!$J$29,$E$46-SUM($F$46:G46),IF(H12&gt;TERM,0,IF(H12&lt;ASS!$J$29,SLN(ASS!$I$29,0,ASS!$J$29)*H14/12,IF(H12=ASS!$J$29,SLN(ASS!$I$29,0,ASS!$J$29)*(12-H14)/12,0)))))</f>
        <v>0</v>
      </c>
      <c r="I46" s="416" t="n">
        <f aca="false">IF(ASS!$J$29=0,0,IF(I12=ASS!$J$29,$E$46-SUM($F$46:H46),IF(I12&gt;TERM,0,IF(I12&lt;ASS!$J$29,SLN(ASS!$I$29,0,ASS!$J$29)*I14/12,IF(I12=ASS!$J$29,SLN(ASS!$I$29,0,ASS!$J$29)*(12-I14)/12,0)))))</f>
        <v>0</v>
      </c>
      <c r="J46" s="416" t="n">
        <f aca="false">IF(ASS!$J$29=0,0,IF(J12=ASS!$J$29,$E$46-SUM($F$46:I46),IF(J12&gt;TERM,0,IF(J12&lt;ASS!$J$29,SLN(ASS!$I$29,0,ASS!$J$29)*J14/12,IF(J12=ASS!$J$29,SLN(ASS!$I$29,0,ASS!$J$29)*(12-J14)/12,0)))))</f>
        <v>0</v>
      </c>
      <c r="K46" s="416" t="n">
        <f aca="false">IF(ASS!$J$29=0,0,IF(K12=ASS!$J$29,$E$46-SUM($F$46:J46),IF(K12&gt;TERM,0,IF(K12&lt;ASS!$J$29,SLN(ASS!$I$29,0,ASS!$J$29)*K14/12,IF(K12=ASS!$J$29,SLN(ASS!$I$29,0,ASS!$J$29)*(12-K14)/12,0)))))</f>
        <v>0</v>
      </c>
      <c r="L46" s="416" t="n">
        <f aca="false">IF(ASS!$J$29=0,0,IF(L12=ASS!$J$29,$E$46-SUM($F$46:K46),IF(L12&gt;TERM,0,IF(L12&lt;ASS!$J$29,SLN(ASS!$I$29,0,ASS!$J$29)*L14/12,IF(L12=ASS!$J$29,SLN(ASS!$I$29,0,ASS!$J$29)*(12-L14)/12,0)))))</f>
        <v>0</v>
      </c>
      <c r="M46" s="416" t="n">
        <f aca="false">IF(ASS!$J$29=0,0,IF(M12=ASS!$J$29,$E$46-SUM($F$46:L46),IF(M12&gt;TERM,0,IF(M12&lt;ASS!$J$29,SLN(ASS!$I$29,0,ASS!$J$29)*M14/12,IF(M12=ASS!$J$29,SLN(ASS!$I$29,0,ASS!$J$29)*(12-M14)/12,0)))))</f>
        <v>0</v>
      </c>
      <c r="N46" s="416" t="n">
        <f aca="false">IF(ASS!$J$29=0,0,IF(N12=ASS!$J$29,$E$46-SUM($F$46:M46),IF(N12&gt;TERM,0,IF(N12&lt;ASS!$J$29,SLN(ASS!$I$29,0,ASS!$J$29)*N14/12,IF(N12=ASS!$J$29,SLN(ASS!$I$29,0,ASS!$J$29)*(12-N14)/12,0)))))</f>
        <v>0</v>
      </c>
      <c r="O46" s="416" t="n">
        <f aca="false">IF(ASS!$J$29=0,0,IF(O12=ASS!$J$29,$E$46-SUM($F$46:N46),IF(O12&gt;TERM,0,IF(O12&lt;ASS!$J$29,SLN(ASS!$I$29,0,ASS!$J$29)*O14/12,IF(O12=ASS!$J$29,SLN(ASS!$I$29,0,ASS!$J$29)*(12-O14)/12,0)))))</f>
        <v>0</v>
      </c>
      <c r="P46" s="416" t="n">
        <f aca="false">IF(ASS!$J$29=0,0,IF(P12=ASS!$J$29,$E$46-SUM($F$46:O46),IF(P12&gt;TERM,0,IF(P12&lt;ASS!$J$29,SLN(ASS!$I$29,0,ASS!$J$29)*P14/12,IF(P12=ASS!$J$29,SLN(ASS!$I$29,0,ASS!$J$29)*(12-P14)/12,0)))))</f>
        <v>0</v>
      </c>
      <c r="Q46" s="416" t="n">
        <f aca="false">IF(ASS!$J$29=0,0,IF(Q12=ASS!$J$29,$E$46-SUM($F$46:P46),IF(Q12&gt;TERM,0,IF(Q12&lt;ASS!$J$29,SLN(ASS!$I$29,0,ASS!$J$29)*Q14/12,IF(Q12=ASS!$J$29,SLN(ASS!$I$29,0,ASS!$J$29)*(12-Q14)/12,0)))))</f>
        <v>0</v>
      </c>
      <c r="R46" s="416" t="n">
        <f aca="false">IF(ASS!$J$29=0,0,IF(R12=ASS!$J$29,$E$46-SUM($F$46:Q46),IF(R12&gt;TERM,0,IF(R12&lt;ASS!$J$29,SLN(ASS!$I$29,0,ASS!$J$29)*R14/12,IF(R12=ASS!$J$29,SLN(ASS!$I$29,0,ASS!$J$29)*(12-R14)/12,0)))))</f>
        <v>0</v>
      </c>
      <c r="S46" s="416" t="n">
        <f aca="false">IF(ASS!$J$29=0,0,IF(S12=ASS!$J$29,$E$46-SUM($F$46:R46),IF(S12&gt;TERM,0,IF(S12&lt;ASS!$J$29,SLN(ASS!$I$29,0,ASS!$J$29)*S14/12,IF(S12=ASS!$J$29,SLN(ASS!$I$29,0,ASS!$J$29)*(12-S14)/12,0)))))</f>
        <v>0</v>
      </c>
      <c r="T46" s="416" t="n">
        <f aca="false">IF(ASS!$J$29=0,0,IF(T12=ASS!$J$29,$E$46-SUM($F$46:S46),IF(T12&gt;TERM,0,IF(T12&lt;ASS!$J$29,SLN(ASS!$I$29,0,ASS!$J$29)*T14/12,IF(T12=ASS!$J$29,SLN(ASS!$I$29,0,ASS!$J$29)*(12-T14)/12,0)))))</f>
        <v>0</v>
      </c>
      <c r="U46" s="416" t="n">
        <f aca="false">IF(ASS!$J$29=0,0,IF(U12=ASS!$J$29,$E$46-SUM($F$46:T46),IF(U12&gt;TERM,0,IF(U12&lt;ASS!$J$29,SLN(ASS!$I$29,0,ASS!$J$29)*U14/12,IF(U12=ASS!$J$29,SLN(ASS!$I$29,0,ASS!$J$29)*(12-U14)/12,0)))))</f>
        <v>0</v>
      </c>
      <c r="V46" s="416" t="n">
        <f aca="false">IF(ASS!$J$29=0,0,IF(V12=ASS!$J$29,$E$46-SUM($F$46:U46),IF(V12&gt;TERM,0,IF(V12&lt;ASS!$J$29,SLN(ASS!$I$29,0,ASS!$J$29)*V14/12,IF(V12=ASS!$J$29,SLN(ASS!$I$29,0,ASS!$J$29)*(12-V14)/12,0)))))</f>
        <v>0</v>
      </c>
      <c r="W46" s="416" t="n">
        <f aca="false">IF(ASS!$J$29=0,0,IF(W12=ASS!$J$29,$E$46-SUM($F$46:V46),IF(W12&gt;TERM,0,IF(W12&lt;ASS!$J$29,SLN(ASS!$I$29,0,ASS!$J$29)*W14/12,IF(W12=ASS!$J$29,SLN(ASS!$I$29,0,ASS!$J$29)*(12-W14)/12,0)))))</f>
        <v>0</v>
      </c>
      <c r="X46" s="416" t="n">
        <f aca="false">IF(ASS!$J$29=0,0,IF(X12=ASS!$J$29,$E$46-SUM($F$46:W46),IF(X12&gt;TERM,0,IF(X12&lt;ASS!$J$29,SLN(ASS!$I$29,0,ASS!$J$29)*X14/12,IF(X12=ASS!$J$29,SLN(ASS!$I$29,0,ASS!$J$29)*(12-X14)/12,0)))))</f>
        <v>0</v>
      </c>
      <c r="Y46" s="416" t="n">
        <f aca="false">IF(ASS!$J$29=0,0,IF(Y12=ASS!$J$29,$E$46-SUM($F$46:X46),IF(Y12&gt;TERM,0,IF(Y12&lt;ASS!$J$29,SLN(ASS!$I$29,0,ASS!$J$29)*Y14/12,IF(Y12=ASS!$J$29,SLN(ASS!$I$29,0,ASS!$J$29)*(12-Y14)/12,0)))))</f>
        <v>0</v>
      </c>
      <c r="Z46" s="416" t="n">
        <f aca="false">IF(ASS!$J$29=0,0,IF(Z12=ASS!$J$29,$E$46-SUM($F$46:Y46),IF(Z12&gt;TERM,0,IF(Z12&lt;ASS!$J$29,SLN(ASS!$I$29,0,ASS!$J$29)*Z14/12,IF(Z12=ASS!$J$29,SLN(ASS!$I$29,0,ASS!$J$29)*(12-Z14)/12,0)))))</f>
        <v>0</v>
      </c>
      <c r="AA46" s="416" t="n">
        <f aca="false">IF(ASS!$J$29=0,0,IF(AA12=ASS!$J$29,$E$46-SUM($F$46:Z46),IF(AA12&gt;TERM,0,IF(AA12&lt;ASS!$J$29,SLN(ASS!$I$29,0,ASS!$J$29)*AA14/12,IF(AA12=ASS!$J$29,SLN(ASS!$I$29,0,ASS!$J$29)*(12-AA14)/12,0)))))</f>
        <v>0</v>
      </c>
      <c r="AB46" s="416" t="n">
        <f aca="false">IF(ASS!$J$29=0,0,IF(AB12=ASS!$J$29,$E$46-SUM($F$46:AA46),IF(AB12&gt;TERM,0,IF(AB12&lt;ASS!$J$29,SLN(ASS!$I$29,0,ASS!$J$29)*AB14/12,IF(AB12=ASS!$J$29,SLN(ASS!$I$29,0,ASS!$J$29)*(12-AB14)/12,0)))))</f>
        <v>0</v>
      </c>
      <c r="AC46" s="416" t="n">
        <f aca="false">IF(ASS!$J$29=0,0,IF(AC12=ASS!$J$29,$E$46-SUM($F$46:AB46),IF(AC12&gt;TERM,0,IF(AC12&lt;ASS!$J$29,SLN(ASS!$I$29,0,ASS!$J$29)*AC14/12,IF(AC12=ASS!$J$29,SLN(ASS!$I$29,0,ASS!$J$29)*(12-AC14)/12,0)))))</f>
        <v>0</v>
      </c>
      <c r="AD46" s="416" t="n">
        <f aca="false">IF(ASS!$J$29=0,0,IF(AD12=ASS!$J$29,$E$46-SUM($F$46:AC46),IF(AD12&gt;TERM,0,IF(AD12&lt;ASS!$J$29,SLN(ASS!$I$29,0,ASS!$J$29)*AD14/12,IF(AD12=ASS!$J$29,SLN(ASS!$I$29,0,ASS!$J$29)*(12-AD14)/12,0)))))</f>
        <v>0</v>
      </c>
      <c r="AE46" s="416" t="n">
        <f aca="false">IF(ASS!$J$29=0,0,IF(AE12=ASS!$J$29,$E$46-SUM($F$46:AD46),IF(AE12&gt;TERM,0,IF(AE12&lt;ASS!$J$29,SLN(ASS!$I$29,0,ASS!$J$29)*AE14/12,IF(AE12=ASS!$J$29,SLN(ASS!$I$29,0,ASS!$J$29)*(12-AE14)/12,0)))))</f>
        <v>0</v>
      </c>
      <c r="AF46" s="429" t="n">
        <f aca="false">SUM(E46:AE46)</f>
        <v>0</v>
      </c>
      <c r="AG46" s="0"/>
    </row>
    <row r="47" customFormat="false" ht="12.75" hidden="false" customHeight="false" outlineLevel="0" collapsed="false">
      <c r="A47" s="29"/>
      <c r="B47" s="30" t="s">
        <v>394</v>
      </c>
      <c r="C47" s="95"/>
      <c r="D47" s="30"/>
      <c r="E47" s="213" t="n">
        <f aca="false">SUM(E44:E46)</f>
        <v>13000</v>
      </c>
      <c r="F47" s="212" t="n">
        <f aca="false">SUM(F44:F46)</f>
        <v>0</v>
      </c>
      <c r="G47" s="212" t="n">
        <f aca="false">SUM(G44:G46)</f>
        <v>0</v>
      </c>
      <c r="H47" s="212" t="n">
        <f aca="false">SUM(H44:H46)</f>
        <v>0</v>
      </c>
      <c r="I47" s="212" t="n">
        <f aca="false">SUM(I44:I46)</f>
        <v>0</v>
      </c>
      <c r="J47" s="212" t="n">
        <f aca="false">SUM(J44:J46)</f>
        <v>0</v>
      </c>
      <c r="K47" s="212" t="n">
        <f aca="false">SUM(K44:K46)</f>
        <v>0</v>
      </c>
      <c r="L47" s="212" t="n">
        <f aca="false">SUM(L44:L46)</f>
        <v>0</v>
      </c>
      <c r="M47" s="212" t="n">
        <f aca="false">SUM(M44:M46)</f>
        <v>0</v>
      </c>
      <c r="N47" s="212" t="n">
        <f aca="false">SUM(N44:N46)</f>
        <v>0</v>
      </c>
      <c r="O47" s="212" t="n">
        <f aca="false">SUM(O44:O46)</f>
        <v>0</v>
      </c>
      <c r="P47" s="212" t="n">
        <f aca="false">SUM(P44:P46)</f>
        <v>0</v>
      </c>
      <c r="Q47" s="212" t="n">
        <f aca="false">SUM(Q44:Q46)</f>
        <v>0</v>
      </c>
      <c r="R47" s="212" t="n">
        <f aca="false">SUM(R44:R46)</f>
        <v>0</v>
      </c>
      <c r="S47" s="212" t="n">
        <f aca="false">SUM(S44:S46)</f>
        <v>0</v>
      </c>
      <c r="T47" s="212" t="n">
        <f aca="false">SUM(T44:T46)</f>
        <v>0</v>
      </c>
      <c r="U47" s="212" t="n">
        <f aca="false">SUM(U44:U46)</f>
        <v>0</v>
      </c>
      <c r="V47" s="212" t="n">
        <f aca="false">SUM(V44:V46)</f>
        <v>0</v>
      </c>
      <c r="W47" s="212" t="n">
        <f aca="false">SUM(W44:W46)</f>
        <v>0</v>
      </c>
      <c r="X47" s="212" t="n">
        <f aca="false">SUM(X44:X46)</f>
        <v>0</v>
      </c>
      <c r="Y47" s="212" t="n">
        <f aca="false">SUM(Y44:Y46)</f>
        <v>0</v>
      </c>
      <c r="Z47" s="212" t="n">
        <f aca="false">SUM(Z44:Z46)</f>
        <v>0</v>
      </c>
      <c r="AA47" s="212" t="n">
        <f aca="false">SUM(AA44:AA46)</f>
        <v>0</v>
      </c>
      <c r="AB47" s="212" t="n">
        <f aca="false">SUM(AB44:AB46)</f>
        <v>0</v>
      </c>
      <c r="AC47" s="212" t="n">
        <f aca="false">SUM(AC44:AC46)</f>
        <v>0</v>
      </c>
      <c r="AD47" s="212" t="n">
        <f aca="false">SUM(AD44:AD46)</f>
        <v>0</v>
      </c>
      <c r="AE47" s="212" t="n">
        <f aca="false">SUM(AE44:AE46)</f>
        <v>0</v>
      </c>
      <c r="AF47" s="213" t="n">
        <f aca="false">SUM(F47:AE47)</f>
        <v>0</v>
      </c>
      <c r="AG47" s="0"/>
    </row>
    <row r="48" customFormat="false" ht="12.75" hidden="false" customHeight="false" outlineLevel="0" collapsed="false">
      <c r="A48" s="29"/>
      <c r="B48" s="214" t="s">
        <v>395</v>
      </c>
      <c r="C48" s="95"/>
      <c r="D48" s="30"/>
      <c r="E48" s="213"/>
      <c r="F48" s="430" t="n">
        <f aca="false">SUM($F$47:F47)</f>
        <v>0</v>
      </c>
      <c r="G48" s="430" t="n">
        <f aca="false">SUM($F$47:G47)</f>
        <v>0</v>
      </c>
      <c r="H48" s="430" t="n">
        <f aca="false">SUM($F$47:H47)</f>
        <v>0</v>
      </c>
      <c r="I48" s="430" t="n">
        <f aca="false">SUM($F$47:I47)</f>
        <v>0</v>
      </c>
      <c r="J48" s="430" t="n">
        <f aca="false">SUM($F$47:J47)</f>
        <v>0</v>
      </c>
      <c r="K48" s="430" t="n">
        <f aca="false">SUM($F$47:K47)</f>
        <v>0</v>
      </c>
      <c r="L48" s="430" t="n">
        <f aca="false">SUM($F$47:L47)</f>
        <v>0</v>
      </c>
      <c r="M48" s="430" t="n">
        <f aca="false">SUM($F$47:M47)</f>
        <v>0</v>
      </c>
      <c r="N48" s="430" t="n">
        <f aca="false">SUM($F$47:N47)</f>
        <v>0</v>
      </c>
      <c r="O48" s="430" t="n">
        <f aca="false">SUM($F$47:O47)</f>
        <v>0</v>
      </c>
      <c r="P48" s="430" t="n">
        <f aca="false">SUM($F$47:P47)</f>
        <v>0</v>
      </c>
      <c r="Q48" s="430" t="n">
        <f aca="false">SUM($F$47:Q47)</f>
        <v>0</v>
      </c>
      <c r="R48" s="430" t="n">
        <f aca="false">SUM($F$47:R47)</f>
        <v>0</v>
      </c>
      <c r="S48" s="430" t="n">
        <f aca="false">SUM($F$47:S47)</f>
        <v>0</v>
      </c>
      <c r="T48" s="430" t="n">
        <f aca="false">SUM($F$47:T47)</f>
        <v>0</v>
      </c>
      <c r="U48" s="430" t="n">
        <f aca="false">SUM($F$47:U47)</f>
        <v>0</v>
      </c>
      <c r="V48" s="430" t="n">
        <f aca="false">SUM($F$47:V47)</f>
        <v>0</v>
      </c>
      <c r="W48" s="430" t="n">
        <f aca="false">SUM($F$47:W47)</f>
        <v>0</v>
      </c>
      <c r="X48" s="430" t="n">
        <f aca="false">SUM($F$47:X47)</f>
        <v>0</v>
      </c>
      <c r="Y48" s="430" t="n">
        <f aca="false">SUM($F$47:Y47)</f>
        <v>0</v>
      </c>
      <c r="Z48" s="430" t="n">
        <f aca="false">SUM($F$47:Z47)</f>
        <v>0</v>
      </c>
      <c r="AA48" s="430" t="n">
        <f aca="false">SUM($F$47:AA47)</f>
        <v>0</v>
      </c>
      <c r="AB48" s="430" t="n">
        <f aca="false">SUM($F$47:AB47)</f>
        <v>0</v>
      </c>
      <c r="AC48" s="430" t="n">
        <f aca="false">SUM($F$47:AC47)</f>
        <v>0</v>
      </c>
      <c r="AD48" s="430" t="n">
        <f aca="false">SUM($F$47:AD47)</f>
        <v>0</v>
      </c>
      <c r="AE48" s="430" t="n">
        <f aca="false">SUM($F$47:AE47)</f>
        <v>0</v>
      </c>
      <c r="AF48" s="213"/>
      <c r="AG48" s="0"/>
    </row>
    <row r="49" customFormat="false" ht="12.75" hidden="false" customHeight="false" outlineLevel="0" collapsed="false">
      <c r="A49" s="29"/>
      <c r="B49" s="30"/>
      <c r="C49" s="95"/>
      <c r="D49" s="30"/>
      <c r="E49" s="213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3"/>
      <c r="AG49" s="0"/>
    </row>
    <row r="50" customFormat="false" ht="12.75" hidden="false" customHeight="false" outlineLevel="0" collapsed="false">
      <c r="A50" s="29"/>
      <c r="B50" s="30" t="s">
        <v>396</v>
      </c>
      <c r="C50" s="95"/>
      <c r="D50" s="30"/>
      <c r="E50" s="213"/>
      <c r="F50" s="212" t="n">
        <v>0</v>
      </c>
      <c r="G50" s="212" t="n">
        <f aca="false">F53</f>
        <v>13000</v>
      </c>
      <c r="H50" s="212" t="n">
        <f aca="false">G53</f>
        <v>13000</v>
      </c>
      <c r="I50" s="212" t="n">
        <f aca="false">H53</f>
        <v>13000</v>
      </c>
      <c r="J50" s="212" t="n">
        <f aca="false">I53</f>
        <v>13000</v>
      </c>
      <c r="K50" s="212" t="n">
        <f aca="false">J53</f>
        <v>13000</v>
      </c>
      <c r="L50" s="212" t="n">
        <f aca="false">K53</f>
        <v>13000</v>
      </c>
      <c r="M50" s="212" t="n">
        <f aca="false">L53</f>
        <v>13000</v>
      </c>
      <c r="N50" s="212" t="n">
        <f aca="false">M53</f>
        <v>13000</v>
      </c>
      <c r="O50" s="212" t="n">
        <f aca="false">N53</f>
        <v>13000</v>
      </c>
      <c r="P50" s="212" t="n">
        <f aca="false">O53</f>
        <v>13000</v>
      </c>
      <c r="Q50" s="212" t="n">
        <f aca="false">P53</f>
        <v>13000</v>
      </c>
      <c r="R50" s="212" t="n">
        <f aca="false">Q53</f>
        <v>13000</v>
      </c>
      <c r="S50" s="212" t="n">
        <f aca="false">R53</f>
        <v>13000</v>
      </c>
      <c r="T50" s="212" t="n">
        <f aca="false">S53</f>
        <v>13000</v>
      </c>
      <c r="U50" s="212" t="n">
        <f aca="false">T53</f>
        <v>13000</v>
      </c>
      <c r="V50" s="212" t="n">
        <f aca="false">U53</f>
        <v>13000</v>
      </c>
      <c r="W50" s="212" t="n">
        <f aca="false">V53</f>
        <v>13000</v>
      </c>
      <c r="X50" s="212" t="n">
        <f aca="false">W53</f>
        <v>13000</v>
      </c>
      <c r="Y50" s="212" t="n">
        <f aca="false">X53</f>
        <v>13000</v>
      </c>
      <c r="Z50" s="212" t="n">
        <f aca="false">Y53</f>
        <v>13000</v>
      </c>
      <c r="AA50" s="212" t="n">
        <f aca="false">Z53</f>
        <v>13000</v>
      </c>
      <c r="AB50" s="212" t="n">
        <f aca="false">AA53</f>
        <v>13000</v>
      </c>
      <c r="AC50" s="212" t="n">
        <f aca="false">AB53</f>
        <v>13000</v>
      </c>
      <c r="AD50" s="212" t="n">
        <f aca="false">AC53</f>
        <v>13000</v>
      </c>
      <c r="AE50" s="212" t="n">
        <f aca="false">AD53</f>
        <v>13000</v>
      </c>
      <c r="AF50" s="213"/>
      <c r="AG50" s="0"/>
    </row>
    <row r="51" customFormat="false" ht="12.75" hidden="false" customHeight="false" outlineLevel="0" collapsed="false">
      <c r="A51" s="29"/>
      <c r="B51" s="30" t="s">
        <v>389</v>
      </c>
      <c r="C51" s="30"/>
      <c r="D51" s="30"/>
      <c r="E51" s="213"/>
      <c r="F51" s="212" t="n">
        <f aca="false">E47</f>
        <v>13000</v>
      </c>
      <c r="G51" s="212" t="n">
        <v>0</v>
      </c>
      <c r="H51" s="212" t="n">
        <v>0</v>
      </c>
      <c r="I51" s="212" t="n">
        <v>0</v>
      </c>
      <c r="J51" s="212" t="n">
        <v>0</v>
      </c>
      <c r="K51" s="212" t="n">
        <v>0</v>
      </c>
      <c r="L51" s="212" t="n">
        <v>0</v>
      </c>
      <c r="M51" s="212" t="n">
        <v>0</v>
      </c>
      <c r="N51" s="212" t="n">
        <v>0</v>
      </c>
      <c r="O51" s="212" t="n">
        <v>0</v>
      </c>
      <c r="P51" s="212" t="n">
        <v>0</v>
      </c>
      <c r="Q51" s="212" t="n">
        <v>0</v>
      </c>
      <c r="R51" s="212" t="n">
        <v>0</v>
      </c>
      <c r="S51" s="212" t="n">
        <v>0</v>
      </c>
      <c r="T51" s="212" t="n">
        <v>0</v>
      </c>
      <c r="U51" s="212" t="n">
        <v>0</v>
      </c>
      <c r="V51" s="212" t="n">
        <v>0</v>
      </c>
      <c r="W51" s="212" t="n">
        <v>0</v>
      </c>
      <c r="X51" s="212" t="n">
        <v>0</v>
      </c>
      <c r="Y51" s="212" t="n">
        <v>0</v>
      </c>
      <c r="Z51" s="212" t="n">
        <v>0</v>
      </c>
      <c r="AA51" s="212" t="n">
        <v>0</v>
      </c>
      <c r="AB51" s="212" t="n">
        <v>0</v>
      </c>
      <c r="AC51" s="212" t="n">
        <v>0</v>
      </c>
      <c r="AD51" s="212" t="n">
        <v>0</v>
      </c>
      <c r="AE51" s="212" t="n">
        <v>0</v>
      </c>
      <c r="AF51" s="213" t="n">
        <f aca="false">SUM(F51:AE51)</f>
        <v>13000</v>
      </c>
      <c r="AG51" s="0"/>
    </row>
    <row r="52" customFormat="false" ht="12.75" hidden="false" customHeight="false" outlineLevel="0" collapsed="false">
      <c r="A52" s="29"/>
      <c r="B52" s="30" t="s">
        <v>390</v>
      </c>
      <c r="C52" s="30"/>
      <c r="D52" s="30"/>
      <c r="E52" s="213"/>
      <c r="F52" s="215" t="n">
        <f aca="false">-F47</f>
        <v>-0</v>
      </c>
      <c r="G52" s="215" t="n">
        <f aca="false">-G47</f>
        <v>-0</v>
      </c>
      <c r="H52" s="215" t="n">
        <f aca="false">-H47</f>
        <v>-0</v>
      </c>
      <c r="I52" s="215" t="n">
        <f aca="false">-I47</f>
        <v>-0</v>
      </c>
      <c r="J52" s="215" t="n">
        <f aca="false">-J47</f>
        <v>-0</v>
      </c>
      <c r="K52" s="215" t="n">
        <f aca="false">-K47</f>
        <v>-0</v>
      </c>
      <c r="L52" s="215" t="n">
        <f aca="false">-L47</f>
        <v>-0</v>
      </c>
      <c r="M52" s="215" t="n">
        <f aca="false">-M47</f>
        <v>-0</v>
      </c>
      <c r="N52" s="215" t="n">
        <f aca="false">-N47</f>
        <v>-0</v>
      </c>
      <c r="O52" s="215" t="n">
        <f aca="false">-O47</f>
        <v>-0</v>
      </c>
      <c r="P52" s="215" t="n">
        <f aca="false">-P47</f>
        <v>-0</v>
      </c>
      <c r="Q52" s="215" t="n">
        <f aca="false">-Q47</f>
        <v>-0</v>
      </c>
      <c r="R52" s="215" t="n">
        <f aca="false">-R47</f>
        <v>-0</v>
      </c>
      <c r="S52" s="215" t="n">
        <f aca="false">-S47</f>
        <v>-0</v>
      </c>
      <c r="T52" s="215" t="n">
        <f aca="false">-T47</f>
        <v>-0</v>
      </c>
      <c r="U52" s="215" t="n">
        <f aca="false">-U47</f>
        <v>-0</v>
      </c>
      <c r="V52" s="215" t="n">
        <f aca="false">-V47</f>
        <v>-0</v>
      </c>
      <c r="W52" s="215" t="n">
        <f aca="false">-W47</f>
        <v>-0</v>
      </c>
      <c r="X52" s="215" t="n">
        <f aca="false">-X47</f>
        <v>-0</v>
      </c>
      <c r="Y52" s="215" t="n">
        <f aca="false">-Y47</f>
        <v>-0</v>
      </c>
      <c r="Z52" s="215" t="n">
        <f aca="false">-Z47</f>
        <v>-0</v>
      </c>
      <c r="AA52" s="215" t="n">
        <f aca="false">-AA47</f>
        <v>-0</v>
      </c>
      <c r="AB52" s="215" t="n">
        <f aca="false">-AB47</f>
        <v>-0</v>
      </c>
      <c r="AC52" s="215" t="n">
        <f aca="false">-AC47</f>
        <v>-0</v>
      </c>
      <c r="AD52" s="215" t="n">
        <f aca="false">-AD47</f>
        <v>-0</v>
      </c>
      <c r="AE52" s="215" t="n">
        <f aca="false">-AE47</f>
        <v>-0</v>
      </c>
      <c r="AF52" s="213" t="n">
        <f aca="false">SUM(F52:AE52)</f>
        <v>0</v>
      </c>
      <c r="AG52" s="0"/>
    </row>
    <row r="53" customFormat="false" ht="12.75" hidden="false" customHeight="false" outlineLevel="0" collapsed="false">
      <c r="A53" s="57"/>
      <c r="B53" s="58" t="s">
        <v>397</v>
      </c>
      <c r="C53" s="58" t="s">
        <v>1</v>
      </c>
      <c r="D53" s="58"/>
      <c r="E53" s="431"/>
      <c r="F53" s="303" t="n">
        <f aca="false">SUM(F50:F52)</f>
        <v>13000</v>
      </c>
      <c r="G53" s="303" t="n">
        <f aca="false">SUM(G50:G52)</f>
        <v>13000</v>
      </c>
      <c r="H53" s="303" t="n">
        <f aca="false">SUM(H50:H52)</f>
        <v>13000</v>
      </c>
      <c r="I53" s="303" t="n">
        <f aca="false">SUM(I50:I52)</f>
        <v>13000</v>
      </c>
      <c r="J53" s="303" t="n">
        <f aca="false">SUM(J50:J52)</f>
        <v>13000</v>
      </c>
      <c r="K53" s="303" t="n">
        <f aca="false">SUM(K50:K52)</f>
        <v>13000</v>
      </c>
      <c r="L53" s="303" t="n">
        <f aca="false">SUM(L50:L52)</f>
        <v>13000</v>
      </c>
      <c r="M53" s="303" t="n">
        <f aca="false">SUM(M50:M52)</f>
        <v>13000</v>
      </c>
      <c r="N53" s="303" t="n">
        <f aca="false">SUM(N50:N52)</f>
        <v>13000</v>
      </c>
      <c r="O53" s="303" t="n">
        <f aca="false">SUM(O50:O52)</f>
        <v>13000</v>
      </c>
      <c r="P53" s="303" t="n">
        <f aca="false">SUM(P50:P52)</f>
        <v>13000</v>
      </c>
      <c r="Q53" s="303" t="n">
        <f aca="false">SUM(Q50:Q52)</f>
        <v>13000</v>
      </c>
      <c r="R53" s="303" t="n">
        <f aca="false">SUM(R50:R52)</f>
        <v>13000</v>
      </c>
      <c r="S53" s="303" t="n">
        <f aca="false">SUM(S50:S52)</f>
        <v>13000</v>
      </c>
      <c r="T53" s="303" t="n">
        <f aca="false">SUM(T50:T52)</f>
        <v>13000</v>
      </c>
      <c r="U53" s="303" t="n">
        <f aca="false">SUM(U50:U52)</f>
        <v>13000</v>
      </c>
      <c r="V53" s="303" t="n">
        <f aca="false">SUM(V50:V52)</f>
        <v>13000</v>
      </c>
      <c r="W53" s="303" t="n">
        <f aca="false">SUM(W50:W52)</f>
        <v>13000</v>
      </c>
      <c r="X53" s="303" t="n">
        <f aca="false">SUM(X50:X52)</f>
        <v>13000</v>
      </c>
      <c r="Y53" s="303" t="n">
        <f aca="false">SUM(Y50:Y52)</f>
        <v>13000</v>
      </c>
      <c r="Z53" s="303" t="n">
        <f aca="false">SUM(Z50:Z52)</f>
        <v>13000</v>
      </c>
      <c r="AA53" s="303" t="n">
        <f aca="false">SUM(AA50:AA52)</f>
        <v>13000</v>
      </c>
      <c r="AB53" s="303" t="n">
        <f aca="false">SUM(AB50:AB52)</f>
        <v>13000</v>
      </c>
      <c r="AC53" s="303" t="n">
        <f aca="false">SUM(AC50:AC52)</f>
        <v>13000</v>
      </c>
      <c r="AD53" s="303" t="n">
        <f aca="false">SUM(AD50:AD52)</f>
        <v>13000</v>
      </c>
      <c r="AE53" s="303" t="n">
        <f aca="false">SUM(AE50:AE52)</f>
        <v>13000</v>
      </c>
      <c r="AF53" s="431"/>
      <c r="AG53" s="0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9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F65" activeCellId="0" sqref="F6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" width="9.14"/>
    <col collapsed="false" customWidth="true" hidden="false" outlineLevel="0" max="4" min="4" style="1" width="14.14"/>
    <col collapsed="false" customWidth="true" hidden="false" outlineLevel="0" max="5" min="5" style="1" width="8.41"/>
    <col collapsed="false" customWidth="false" hidden="false" outlineLevel="0" max="23" min="6" style="1" width="9.14"/>
    <col collapsed="false" customWidth="true" hidden="false" outlineLevel="0" max="32" min="24" style="1" width="9.7"/>
    <col collapsed="false" customWidth="true" hidden="false" outlineLevel="0" max="33" min="33" style="1" width="10.13"/>
    <col collapsed="false" customWidth="false" hidden="false" outlineLevel="0" max="257" min="34" style="1" width="9.14"/>
  </cols>
  <sheetData>
    <row r="1" customFormat="false" ht="15.75" hidden="false" customHeight="false" outlineLevel="0" collapsed="false">
      <c r="A1" s="2" t="s">
        <v>399</v>
      </c>
      <c r="B1" s="134"/>
      <c r="C1" s="318"/>
      <c r="D1" s="268"/>
      <c r="E1" s="0"/>
    </row>
    <row r="2" customFormat="false" ht="15.75" hidden="false" customHeight="false" outlineLevel="0" collapsed="false">
      <c r="A2" s="188" t="n">
        <f aca="false">ASS!A4</f>
        <v>0</v>
      </c>
      <c r="B2" s="60"/>
      <c r="C2" s="70"/>
      <c r="D2" s="269"/>
      <c r="E2" s="0"/>
    </row>
    <row r="3" customFormat="false" ht="15.75" hidden="false" customHeight="false" outlineLevel="0" collapsed="false">
      <c r="A3" s="189" t="str">
        <f aca="false">ASS!A5</f>
        <v>BASE MODEL</v>
      </c>
      <c r="B3" s="115"/>
      <c r="C3" s="319"/>
      <c r="D3" s="270"/>
      <c r="E3" s="0"/>
    </row>
    <row r="4" customFormat="false" ht="15.75" hidden="false" customHeight="false" outlineLevel="0" collapsed="false">
      <c r="A4" s="8"/>
      <c r="B4" s="60"/>
      <c r="C4" s="70"/>
      <c r="D4" s="70"/>
      <c r="E4" s="0"/>
    </row>
    <row r="5" customFormat="false" ht="12.75" hidden="false" customHeight="false" outlineLevel="0" collapsed="false">
      <c r="F5" s="187" t="s">
        <v>400</v>
      </c>
      <c r="G5" s="6" t="n">
        <f aca="false">CF!D5</f>
        <v>1</v>
      </c>
      <c r="H5" s="6" t="n">
        <f aca="false">CF!E5</f>
        <v>2</v>
      </c>
      <c r="I5" s="6" t="n">
        <f aca="false">CF!F5</f>
        <v>3</v>
      </c>
      <c r="J5" s="6" t="n">
        <f aca="false">CF!G5</f>
        <v>4</v>
      </c>
      <c r="K5" s="6" t="n">
        <f aca="false">CF!H5</f>
        <v>5</v>
      </c>
      <c r="L5" s="6" t="n">
        <f aca="false">CF!I5</f>
        <v>6</v>
      </c>
      <c r="M5" s="6" t="n">
        <f aca="false">CF!J5</f>
        <v>7</v>
      </c>
      <c r="N5" s="6" t="n">
        <f aca="false">CF!K5</f>
        <v>8</v>
      </c>
      <c r="O5" s="6" t="n">
        <f aca="false">CF!L5</f>
        <v>9</v>
      </c>
      <c r="P5" s="6" t="n">
        <f aca="false">CF!M5</f>
        <v>10</v>
      </c>
      <c r="Q5" s="6" t="n">
        <f aca="false">CF!N5</f>
        <v>11</v>
      </c>
      <c r="R5" s="6" t="n">
        <f aca="false">CF!O5</f>
        <v>12</v>
      </c>
      <c r="S5" s="6" t="n">
        <f aca="false">CF!P5</f>
        <v>13</v>
      </c>
      <c r="T5" s="6" t="n">
        <f aca="false">CF!Q5</f>
        <v>14</v>
      </c>
      <c r="U5" s="6" t="n">
        <f aca="false">CF!R5</f>
        <v>15</v>
      </c>
      <c r="V5" s="6" t="n">
        <f aca="false">CF!S5</f>
        <v>16</v>
      </c>
      <c r="W5" s="6" t="n">
        <f aca="false">CF!T5</f>
        <v>17</v>
      </c>
      <c r="X5" s="6" t="n">
        <f aca="false">CF!U5</f>
        <v>18</v>
      </c>
      <c r="Y5" s="6" t="n">
        <f aca="false">CF!V5</f>
        <v>19</v>
      </c>
      <c r="Z5" s="6" t="n">
        <f aca="false">CF!W5</f>
        <v>20</v>
      </c>
      <c r="AA5" s="6" t="n">
        <f aca="false">CF!X5</f>
        <v>21</v>
      </c>
      <c r="AB5" s="6" t="n">
        <f aca="false">CF!Y5</f>
        <v>22</v>
      </c>
      <c r="AC5" s="6" t="n">
        <f aca="false">CF!Z5</f>
        <v>23</v>
      </c>
      <c r="AD5" s="6" t="n">
        <f aca="false">CF!AA5</f>
        <v>24</v>
      </c>
      <c r="AE5" s="6" t="n">
        <f aca="false">CF!AB5</f>
        <v>25</v>
      </c>
      <c r="AF5" s="6" t="n">
        <f aca="false">CF!AC5</f>
        <v>26</v>
      </c>
      <c r="AG5" s="194"/>
    </row>
    <row r="6" customFormat="false" ht="12.75" hidden="false" customHeight="false" outlineLevel="0" collapsed="false">
      <c r="F6" s="187" t="s">
        <v>401</v>
      </c>
      <c r="G6" s="6" t="n">
        <f aca="false">CF!D6</f>
        <v>2001</v>
      </c>
      <c r="H6" s="6" t="n">
        <f aca="false">CF!E6</f>
        <v>2002</v>
      </c>
      <c r="I6" s="6" t="n">
        <f aca="false">CF!F6</f>
        <v>2003</v>
      </c>
      <c r="J6" s="6" t="n">
        <f aca="false">CF!G6</f>
        <v>2004</v>
      </c>
      <c r="K6" s="6" t="n">
        <f aca="false">CF!H6</f>
        <v>2005</v>
      </c>
      <c r="L6" s="6" t="n">
        <f aca="false">CF!I6</f>
        <v>2006</v>
      </c>
      <c r="M6" s="6" t="n">
        <f aca="false">CF!J6</f>
        <v>2007</v>
      </c>
      <c r="N6" s="6" t="n">
        <f aca="false">CF!K6</f>
        <v>2008</v>
      </c>
      <c r="O6" s="6" t="n">
        <f aca="false">CF!L6</f>
        <v>2009</v>
      </c>
      <c r="P6" s="6" t="n">
        <f aca="false">CF!M6</f>
        <v>2010</v>
      </c>
      <c r="Q6" s="6" t="n">
        <f aca="false">CF!N6</f>
        <v>2011</v>
      </c>
      <c r="R6" s="6" t="n">
        <f aca="false">CF!O6</f>
        <v>2012</v>
      </c>
      <c r="S6" s="6" t="n">
        <f aca="false">CF!P6</f>
        <v>2013</v>
      </c>
      <c r="T6" s="6" t="n">
        <f aca="false">CF!Q6</f>
        <v>2014</v>
      </c>
      <c r="U6" s="6" t="n">
        <f aca="false">CF!R6</f>
        <v>2015</v>
      </c>
      <c r="V6" s="6" t="n">
        <f aca="false">CF!S6</f>
        <v>2016</v>
      </c>
      <c r="W6" s="6" t="n">
        <f aca="false">CF!T6</f>
        <v>2017</v>
      </c>
      <c r="X6" s="6" t="n">
        <f aca="false">CF!U6</f>
        <v>2018</v>
      </c>
      <c r="Y6" s="6" t="n">
        <f aca="false">CF!V6</f>
        <v>2019</v>
      </c>
      <c r="Z6" s="6" t="n">
        <f aca="false">CF!W6</f>
        <v>2020</v>
      </c>
      <c r="AA6" s="6" t="n">
        <f aca="false">CF!X6</f>
        <v>2021</v>
      </c>
      <c r="AB6" s="6" t="n">
        <f aca="false">CF!Y6</f>
        <v>2022</v>
      </c>
      <c r="AC6" s="6" t="n">
        <f aca="false">CF!Z6</f>
        <v>2023</v>
      </c>
      <c r="AD6" s="6" t="n">
        <f aca="false">CF!AA6</f>
        <v>2024</v>
      </c>
      <c r="AE6" s="6" t="n">
        <f aca="false">CF!AB6</f>
        <v>2025</v>
      </c>
      <c r="AF6" s="6" t="n">
        <f aca="false">CF!AC6</f>
        <v>2026</v>
      </c>
      <c r="AG6" s="275" t="s">
        <v>205</v>
      </c>
    </row>
    <row r="7" customFormat="false" ht="12.75" hidden="false" customHeight="false" outlineLevel="0" collapsed="false">
      <c r="A7" s="18" t="s">
        <v>402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207"/>
    </row>
    <row r="8" customFormat="false" ht="12.75" hidden="false" customHeight="false" outlineLevel="0" collapsed="false">
      <c r="A8" s="29"/>
      <c r="B8" s="30" t="s">
        <v>403</v>
      </c>
      <c r="C8" s="30"/>
      <c r="D8" s="30"/>
      <c r="E8" s="30"/>
      <c r="F8" s="357" t="n">
        <v>0</v>
      </c>
      <c r="G8" s="212" t="e">
        <f aca="false">$F$8+G90</f>
        <v>#REF!</v>
      </c>
      <c r="H8" s="212" t="e">
        <f aca="false">$F$8+H90</f>
        <v>#REF!</v>
      </c>
      <c r="I8" s="212" t="e">
        <f aca="false">$F$8+I90</f>
        <v>#REF!</v>
      </c>
      <c r="J8" s="212" t="e">
        <f aca="false">$F$8+J90</f>
        <v>#REF!</v>
      </c>
      <c r="K8" s="212" t="e">
        <f aca="false">$F$8+K90</f>
        <v>#REF!</v>
      </c>
      <c r="L8" s="212" t="e">
        <f aca="false">$F$8+L90</f>
        <v>#REF!</v>
      </c>
      <c r="M8" s="212" t="e">
        <f aca="false">$F$8+M90</f>
        <v>#REF!</v>
      </c>
      <c r="N8" s="212" t="e">
        <f aca="false">$F$8+N90</f>
        <v>#REF!</v>
      </c>
      <c r="O8" s="212" t="e">
        <f aca="false">$F$8+O90</f>
        <v>#REF!</v>
      </c>
      <c r="P8" s="212" t="e">
        <f aca="false">$F$8+P90</f>
        <v>#REF!</v>
      </c>
      <c r="Q8" s="212" t="e">
        <f aca="false">$F$8+Q90</f>
        <v>#REF!</v>
      </c>
      <c r="R8" s="212" t="e">
        <f aca="false">$F$8+R90</f>
        <v>#REF!</v>
      </c>
      <c r="S8" s="212" t="e">
        <f aca="false">$F$8+S90</f>
        <v>#REF!</v>
      </c>
      <c r="T8" s="212" t="e">
        <f aca="false">$F$8+T90</f>
        <v>#REF!</v>
      </c>
      <c r="U8" s="212" t="e">
        <f aca="false">$F$8+U90</f>
        <v>#REF!</v>
      </c>
      <c r="V8" s="212" t="e">
        <f aca="false">$F$8+V90</f>
        <v>#REF!</v>
      </c>
      <c r="W8" s="212" t="e">
        <f aca="false">$F$8+W90</f>
        <v>#REF!</v>
      </c>
      <c r="X8" s="212" t="e">
        <f aca="false">$F$8+X90</f>
        <v>#REF!</v>
      </c>
      <c r="Y8" s="212" t="e">
        <f aca="false">$F$8+Y90</f>
        <v>#REF!</v>
      </c>
      <c r="Z8" s="212" t="e">
        <f aca="false">$F$8+Z90</f>
        <v>#REF!</v>
      </c>
      <c r="AA8" s="212" t="e">
        <f aca="false">$F$8+AA90</f>
        <v>#REF!</v>
      </c>
      <c r="AB8" s="212" t="e">
        <f aca="false">$F$8+AB90</f>
        <v>#REF!</v>
      </c>
      <c r="AC8" s="212" t="e">
        <f aca="false">$F$8+AC90</f>
        <v>#REF!</v>
      </c>
      <c r="AD8" s="212" t="e">
        <f aca="false">$F$8+AD90</f>
        <v>#REF!</v>
      </c>
      <c r="AE8" s="212" t="e">
        <f aca="false">$F$8+AE90</f>
        <v>#REF!</v>
      </c>
      <c r="AF8" s="212" t="e">
        <f aca="false">$F$8+AF90</f>
        <v>#REF!</v>
      </c>
      <c r="AG8" s="213" t="e">
        <f aca="false">SUM(F8:AA8)</f>
        <v>#REF!</v>
      </c>
    </row>
    <row r="9" customFormat="false" ht="12.75" hidden="false" customHeight="false" outlineLevel="0" collapsed="false">
      <c r="A9" s="29"/>
      <c r="B9" s="30" t="s">
        <v>166</v>
      </c>
      <c r="C9" s="30"/>
      <c r="D9" s="30"/>
      <c r="E9" s="30"/>
      <c r="F9" s="357" t="n">
        <v>0</v>
      </c>
      <c r="G9" s="212" t="n">
        <f aca="false">F9+(-CF!D92-CF!D93)</f>
        <v>0</v>
      </c>
      <c r="H9" s="212" t="n">
        <f aca="false">G9+(-CF!E92-CF!E93)</f>
        <v>0</v>
      </c>
      <c r="I9" s="212" t="n">
        <f aca="false">H9+(-CF!F92-CF!F93)</f>
        <v>0</v>
      </c>
      <c r="J9" s="212" t="n">
        <f aca="false">I9+(-CF!G92-CF!G93)</f>
        <v>0</v>
      </c>
      <c r="K9" s="212" t="n">
        <f aca="false">J9+(-CF!H92-CF!H93)</f>
        <v>0</v>
      </c>
      <c r="L9" s="212" t="n">
        <f aca="false">K9+(-CF!I92-CF!I93)</f>
        <v>0</v>
      </c>
      <c r="M9" s="212" t="n">
        <f aca="false">L9+(-CF!J92-CF!J93)</f>
        <v>0</v>
      </c>
      <c r="N9" s="212" t="n">
        <f aca="false">M9+(-CF!K92-CF!K93)</f>
        <v>0</v>
      </c>
      <c r="O9" s="212" t="n">
        <f aca="false">N9+(-CF!L92-CF!L93)</f>
        <v>0</v>
      </c>
      <c r="P9" s="212" t="n">
        <f aca="false">O9+(-CF!M92-CF!M93)</f>
        <v>0</v>
      </c>
      <c r="Q9" s="212" t="n">
        <f aca="false">P9+(-CF!N92-CF!N93)</f>
        <v>0</v>
      </c>
      <c r="R9" s="212" t="n">
        <f aca="false">Q9+(-CF!O92-CF!O93)</f>
        <v>0</v>
      </c>
      <c r="S9" s="212" t="n">
        <f aca="false">R9+(-CF!P92-CF!P93)</f>
        <v>0</v>
      </c>
      <c r="T9" s="212" t="n">
        <f aca="false">S9+(-CF!Q92-CF!Q93)</f>
        <v>0</v>
      </c>
      <c r="U9" s="212" t="n">
        <f aca="false">T9+(-CF!R92-CF!R93)</f>
        <v>0</v>
      </c>
      <c r="V9" s="212" t="n">
        <f aca="false">U9+(-CF!S92-CF!S93)</f>
        <v>0</v>
      </c>
      <c r="W9" s="212" t="n">
        <f aca="false">V9+(-CF!T92-CF!T93)</f>
        <v>0</v>
      </c>
      <c r="X9" s="212" t="n">
        <f aca="false">W9+(-CF!U92-CF!U93)</f>
        <v>0</v>
      </c>
      <c r="Y9" s="212" t="n">
        <f aca="false">X9+(-CF!V92-CF!V93)</f>
        <v>0</v>
      </c>
      <c r="Z9" s="212" t="n">
        <f aca="false">Y9+(-CF!W92-CF!W93)</f>
        <v>0</v>
      </c>
      <c r="AA9" s="212" t="n">
        <f aca="false">Z9+(-CF!X92-CF!X93)</f>
        <v>0</v>
      </c>
      <c r="AB9" s="212" t="n">
        <f aca="false">AA9+(-CF!Y92-CF!Y93)</f>
        <v>0</v>
      </c>
      <c r="AC9" s="212" t="n">
        <f aca="false">AB9+(-CF!Z92-CF!Z93)</f>
        <v>0</v>
      </c>
      <c r="AD9" s="212" t="n">
        <f aca="false">AC9+(-CF!AA92-CF!AA93)</f>
        <v>0</v>
      </c>
      <c r="AE9" s="212" t="n">
        <f aca="false">AD9+(-CF!AB92-CF!AB93)</f>
        <v>0</v>
      </c>
      <c r="AF9" s="212" t="n">
        <f aca="false">AE9+(-CF!AC92-CF!AC93)</f>
        <v>0</v>
      </c>
      <c r="AG9" s="213"/>
    </row>
    <row r="10" customFormat="false" ht="12.75" hidden="false" customHeight="false" outlineLevel="0" collapsed="false">
      <c r="A10" s="29"/>
      <c r="B10" s="30" t="s">
        <v>404</v>
      </c>
      <c r="C10" s="30"/>
      <c r="D10" s="30"/>
      <c r="E10" s="30"/>
      <c r="F10" s="357" t="n">
        <v>0</v>
      </c>
      <c r="G10" s="212" t="n">
        <v>0</v>
      </c>
      <c r="H10" s="212" t="n">
        <v>0</v>
      </c>
      <c r="I10" s="212" t="n">
        <v>0</v>
      </c>
      <c r="J10" s="212" t="n">
        <v>0</v>
      </c>
      <c r="K10" s="212" t="n">
        <v>0</v>
      </c>
      <c r="L10" s="212" t="n">
        <v>0</v>
      </c>
      <c r="M10" s="212" t="n">
        <v>0</v>
      </c>
      <c r="N10" s="212" t="n">
        <v>0</v>
      </c>
      <c r="O10" s="212" t="n">
        <v>0</v>
      </c>
      <c r="P10" s="212" t="n">
        <v>0</v>
      </c>
      <c r="Q10" s="212" t="n">
        <v>0</v>
      </c>
      <c r="R10" s="212" t="n">
        <v>0</v>
      </c>
      <c r="S10" s="212" t="n">
        <v>0</v>
      </c>
      <c r="T10" s="212" t="n">
        <v>0</v>
      </c>
      <c r="U10" s="212" t="n">
        <v>0</v>
      </c>
      <c r="V10" s="212" t="n">
        <v>0</v>
      </c>
      <c r="W10" s="212" t="n">
        <v>0</v>
      </c>
      <c r="X10" s="212" t="n">
        <v>0</v>
      </c>
      <c r="Y10" s="212" t="n">
        <v>0</v>
      </c>
      <c r="Z10" s="212" t="n">
        <v>0</v>
      </c>
      <c r="AA10" s="212" t="n">
        <v>0</v>
      </c>
      <c r="AB10" s="212" t="n">
        <v>0</v>
      </c>
      <c r="AC10" s="212" t="n">
        <v>0</v>
      </c>
      <c r="AD10" s="212" t="n">
        <v>0</v>
      </c>
      <c r="AE10" s="212" t="n">
        <v>0</v>
      </c>
      <c r="AF10" s="212" t="n">
        <v>0</v>
      </c>
      <c r="AG10" s="213" t="n">
        <f aca="false">SUM(F10:AA10)</f>
        <v>0</v>
      </c>
    </row>
    <row r="11" customFormat="false" ht="12.75" hidden="false" customHeight="false" outlineLevel="0" collapsed="false">
      <c r="A11" s="29"/>
      <c r="B11" s="30" t="s">
        <v>405</v>
      </c>
      <c r="C11" s="30"/>
      <c r="D11" s="30"/>
      <c r="E11" s="30"/>
      <c r="F11" s="357" t="n">
        <v>0</v>
      </c>
      <c r="G11" s="212" t="n">
        <f aca="false">IF(G5&lt;TERM,SPARES,0)</f>
        <v>0</v>
      </c>
      <c r="H11" s="212" t="n">
        <f aca="false">IF(H5&lt;TERM,SPARES,0)</f>
        <v>0</v>
      </c>
      <c r="I11" s="212" t="n">
        <f aca="false">IF(I5&lt;TERM,SPARES,0)</f>
        <v>0</v>
      </c>
      <c r="J11" s="212" t="n">
        <f aca="false">IF(J5&lt;TERM,SPARES,0)</f>
        <v>0</v>
      </c>
      <c r="K11" s="212" t="n">
        <f aca="false">IF(K5&lt;TERM,SPARES,0)</f>
        <v>0</v>
      </c>
      <c r="L11" s="212" t="n">
        <f aca="false">IF(L5&lt;TERM,SPARES,0)</f>
        <v>0</v>
      </c>
      <c r="M11" s="212" t="n">
        <f aca="false">IF(M5&lt;TERM,SPARES,0)</f>
        <v>0</v>
      </c>
      <c r="N11" s="212" t="n">
        <f aca="false">IF(N5&lt;TERM,SPARES,0)</f>
        <v>0</v>
      </c>
      <c r="O11" s="212" t="n">
        <f aca="false">IF(O5&lt;TERM,SPARES,0)</f>
        <v>0</v>
      </c>
      <c r="P11" s="212" t="n">
        <f aca="false">IF(P5&lt;TERM,SPARES,0)</f>
        <v>0</v>
      </c>
      <c r="Q11" s="212" t="n">
        <f aca="false">IF(Q5&lt;TERM,SPARES,0)</f>
        <v>0</v>
      </c>
      <c r="R11" s="212" t="n">
        <f aca="false">IF(R5&lt;TERM,SPARES,0)</f>
        <v>0</v>
      </c>
      <c r="S11" s="212" t="n">
        <f aca="false">IF(S5&lt;TERM,SPARES,0)</f>
        <v>0</v>
      </c>
      <c r="T11" s="212" t="n">
        <f aca="false">IF(T5&lt;TERM,SPARES,0)</f>
        <v>0</v>
      </c>
      <c r="U11" s="212" t="n">
        <f aca="false">IF(U5&lt;TERM,SPARES,0)</f>
        <v>0</v>
      </c>
      <c r="V11" s="212" t="n">
        <f aca="false">IF(V5&lt;TERM,SPARES,0)</f>
        <v>0</v>
      </c>
      <c r="W11" s="212" t="n">
        <f aca="false">IF(W5&lt;TERM,SPARES,0)</f>
        <v>0</v>
      </c>
      <c r="X11" s="212" t="n">
        <f aca="false">IF(X5&lt;TERM,SPARES,0)</f>
        <v>0</v>
      </c>
      <c r="Y11" s="212" t="n">
        <f aca="false">IF(Y5&lt;TERM,SPARES,0)</f>
        <v>0</v>
      </c>
      <c r="Z11" s="212" t="n">
        <f aca="false">IF(Z5&lt;TERM,SPARES,0)</f>
        <v>0</v>
      </c>
      <c r="AA11" s="212" t="n">
        <f aca="false">IF(AA5&lt;TERM,SPARES,0)</f>
        <v>0</v>
      </c>
      <c r="AB11" s="212" t="n">
        <f aca="false">IF(AB5&lt;TERM,SPARES,0)</f>
        <v>0</v>
      </c>
      <c r="AC11" s="212" t="n">
        <f aca="false">IF(AC5&lt;TERM,SPARES,0)</f>
        <v>0</v>
      </c>
      <c r="AD11" s="212" t="n">
        <f aca="false">IF(AD5&lt;TERM,SPARES,0)</f>
        <v>0</v>
      </c>
      <c r="AE11" s="212" t="n">
        <f aca="false">IF(AE5&lt;TERM,SPARES,0)</f>
        <v>0</v>
      </c>
      <c r="AF11" s="212" t="n">
        <f aca="false">IF(AF5&lt;TERM,SPARES,0)</f>
        <v>0</v>
      </c>
      <c r="AG11" s="213" t="n">
        <f aca="false">SUM(F11:AA11)</f>
        <v>0</v>
      </c>
    </row>
    <row r="12" customFormat="false" ht="12.75" hidden="false" customHeight="false" outlineLevel="0" collapsed="false">
      <c r="A12" s="29"/>
      <c r="B12" s="30" t="s">
        <v>406</v>
      </c>
      <c r="C12" s="30"/>
      <c r="D12" s="30"/>
      <c r="E12" s="30"/>
      <c r="F12" s="357" t="n">
        <v>0</v>
      </c>
      <c r="G12" s="212" t="n">
        <v>0</v>
      </c>
      <c r="H12" s="212" t="n">
        <v>0</v>
      </c>
      <c r="I12" s="212" t="n">
        <v>0</v>
      </c>
      <c r="J12" s="212" t="n">
        <v>0</v>
      </c>
      <c r="K12" s="212" t="n">
        <v>0</v>
      </c>
      <c r="L12" s="212" t="n">
        <v>0</v>
      </c>
      <c r="M12" s="212" t="n">
        <v>0</v>
      </c>
      <c r="N12" s="212" t="n">
        <v>0</v>
      </c>
      <c r="O12" s="212" t="n">
        <v>0</v>
      </c>
      <c r="P12" s="212" t="n">
        <v>0</v>
      </c>
      <c r="Q12" s="212" t="n">
        <v>0</v>
      </c>
      <c r="R12" s="212" t="n">
        <v>0</v>
      </c>
      <c r="S12" s="212" t="n">
        <v>0</v>
      </c>
      <c r="T12" s="212" t="n">
        <v>0</v>
      </c>
      <c r="U12" s="212" t="n">
        <v>0</v>
      </c>
      <c r="V12" s="212" t="n">
        <v>0</v>
      </c>
      <c r="W12" s="212" t="n">
        <v>0</v>
      </c>
      <c r="X12" s="212" t="n">
        <v>0</v>
      </c>
      <c r="Y12" s="212" t="n">
        <v>0</v>
      </c>
      <c r="Z12" s="212" t="n">
        <v>0</v>
      </c>
      <c r="AA12" s="212" t="n">
        <v>0</v>
      </c>
      <c r="AB12" s="212" t="n">
        <v>0</v>
      </c>
      <c r="AC12" s="212" t="n">
        <v>0</v>
      </c>
      <c r="AD12" s="212" t="n">
        <v>0</v>
      </c>
      <c r="AE12" s="212" t="n">
        <v>0</v>
      </c>
      <c r="AF12" s="212" t="n">
        <v>0</v>
      </c>
      <c r="AG12" s="213" t="n">
        <f aca="false">SUM(F12:AA12)</f>
        <v>0</v>
      </c>
    </row>
    <row r="13" customFormat="false" ht="12.75" hidden="false" customHeight="false" outlineLevel="0" collapsed="false">
      <c r="A13" s="29"/>
      <c r="B13" s="30" t="s">
        <v>407</v>
      </c>
      <c r="C13" s="30"/>
      <c r="D13" s="30"/>
      <c r="E13" s="30"/>
      <c r="F13" s="357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3" t="s">
        <v>1</v>
      </c>
    </row>
    <row r="14" customFormat="false" ht="12.75" hidden="false" customHeight="false" outlineLevel="0" collapsed="false">
      <c r="A14" s="29"/>
      <c r="B14" s="30"/>
      <c r="C14" s="30" t="s">
        <v>293</v>
      </c>
      <c r="D14" s="30"/>
      <c r="E14" s="30"/>
      <c r="F14" s="357" t="n">
        <v>0</v>
      </c>
      <c r="G14" s="212" t="n">
        <f aca="false">$F$14+DEPR!$F$38</f>
        <v>13000</v>
      </c>
      <c r="H14" s="212" t="n">
        <f aca="false">$F$14+DEPR!$F$38</f>
        <v>13000</v>
      </c>
      <c r="I14" s="212" t="n">
        <f aca="false">$F$14+DEPR!$F$38</f>
        <v>13000</v>
      </c>
      <c r="J14" s="212" t="n">
        <f aca="false">$F$14+DEPR!$F$38</f>
        <v>13000</v>
      </c>
      <c r="K14" s="212" t="n">
        <f aca="false">$F$14+DEPR!$F$38</f>
        <v>13000</v>
      </c>
      <c r="L14" s="212" t="n">
        <f aca="false">$F$14+DEPR!$F$38</f>
        <v>13000</v>
      </c>
      <c r="M14" s="212" t="n">
        <f aca="false">$F$14+DEPR!$F$38</f>
        <v>13000</v>
      </c>
      <c r="N14" s="212" t="n">
        <f aca="false">$F$14+DEPR!$F$38</f>
        <v>13000</v>
      </c>
      <c r="O14" s="212" t="n">
        <f aca="false">$F$14+DEPR!$F$38</f>
        <v>13000</v>
      </c>
      <c r="P14" s="212" t="n">
        <f aca="false">$F$14+DEPR!$F$38</f>
        <v>13000</v>
      </c>
      <c r="Q14" s="212" t="n">
        <f aca="false">$F$14+DEPR!$F$38</f>
        <v>13000</v>
      </c>
      <c r="R14" s="212" t="n">
        <f aca="false">$F$14+DEPR!$F$38</f>
        <v>13000</v>
      </c>
      <c r="S14" s="212" t="n">
        <f aca="false">$F$14+DEPR!$F$38</f>
        <v>13000</v>
      </c>
      <c r="T14" s="212" t="n">
        <f aca="false">$F$14+DEPR!$F$38</f>
        <v>13000</v>
      </c>
      <c r="U14" s="212" t="n">
        <f aca="false">$F$14+DEPR!$F$38</f>
        <v>13000</v>
      </c>
      <c r="V14" s="212" t="n">
        <f aca="false">$F$14+DEPR!$F$38</f>
        <v>13000</v>
      </c>
      <c r="W14" s="212" t="n">
        <f aca="false">$F$14+DEPR!$F$38</f>
        <v>13000</v>
      </c>
      <c r="X14" s="212" t="n">
        <f aca="false">$F$14+DEPR!$F$38</f>
        <v>13000</v>
      </c>
      <c r="Y14" s="212" t="n">
        <f aca="false">$F$14+DEPR!$F$38</f>
        <v>13000</v>
      </c>
      <c r="Z14" s="212" t="n">
        <f aca="false">$F$14+DEPR!$F$38</f>
        <v>13000</v>
      </c>
      <c r="AA14" s="212" t="n">
        <f aca="false">$F$14+DEPR!$F$38</f>
        <v>13000</v>
      </c>
      <c r="AB14" s="212" t="n">
        <f aca="false">$F$14+DEPR!$F$38</f>
        <v>13000</v>
      </c>
      <c r="AC14" s="212" t="n">
        <f aca="false">$F$14+DEPR!$F$38</f>
        <v>13000</v>
      </c>
      <c r="AD14" s="212" t="n">
        <f aca="false">$F$14+DEPR!$F$38</f>
        <v>13000</v>
      </c>
      <c r="AE14" s="212" t="n">
        <f aca="false">$F$14+DEPR!$F$38</f>
        <v>13000</v>
      </c>
      <c r="AF14" s="212" t="n">
        <f aca="false">$F$14+DEPR!$F$38</f>
        <v>13000</v>
      </c>
      <c r="AG14" s="213" t="n">
        <f aca="false">SUM(F14:AA14)</f>
        <v>273000</v>
      </c>
    </row>
    <row r="15" customFormat="false" ht="12.75" hidden="false" customHeight="false" outlineLevel="0" collapsed="false">
      <c r="A15" s="29"/>
      <c r="B15" s="30"/>
      <c r="C15" s="30" t="s">
        <v>408</v>
      </c>
      <c r="D15" s="30"/>
      <c r="E15" s="30"/>
      <c r="F15" s="436" t="n">
        <v>0</v>
      </c>
      <c r="G15" s="215" t="n">
        <f aca="false">$F$15+DEPR!F35</f>
        <v>0</v>
      </c>
      <c r="H15" s="215" t="n">
        <f aca="false">$F$15+DEPR!G35</f>
        <v>0</v>
      </c>
      <c r="I15" s="215" t="n">
        <f aca="false">$F$15+DEPR!H35</f>
        <v>0</v>
      </c>
      <c r="J15" s="215" t="n">
        <f aca="false">$F$15+DEPR!I35</f>
        <v>0</v>
      </c>
      <c r="K15" s="215" t="n">
        <f aca="false">$F$15+DEPR!J35</f>
        <v>0</v>
      </c>
      <c r="L15" s="215" t="n">
        <f aca="false">$F$15+DEPR!K35</f>
        <v>0</v>
      </c>
      <c r="M15" s="215" t="n">
        <f aca="false">$F$15+DEPR!L35</f>
        <v>0</v>
      </c>
      <c r="N15" s="215" t="n">
        <f aca="false">$F$15+DEPR!M35</f>
        <v>0</v>
      </c>
      <c r="O15" s="215" t="n">
        <f aca="false">$F$15+DEPR!N35</f>
        <v>0</v>
      </c>
      <c r="P15" s="215" t="n">
        <f aca="false">$F$15+DEPR!O35</f>
        <v>0</v>
      </c>
      <c r="Q15" s="215" t="n">
        <f aca="false">$F$15+DEPR!P35</f>
        <v>0</v>
      </c>
      <c r="R15" s="215" t="n">
        <f aca="false">$F$15+DEPR!Q35</f>
        <v>0</v>
      </c>
      <c r="S15" s="215" t="n">
        <f aca="false">$F$15+DEPR!R35</f>
        <v>0</v>
      </c>
      <c r="T15" s="215" t="n">
        <f aca="false">$F$15+DEPR!S35</f>
        <v>0</v>
      </c>
      <c r="U15" s="215" t="n">
        <f aca="false">$F$15+DEPR!T35</f>
        <v>0</v>
      </c>
      <c r="V15" s="215" t="n">
        <f aca="false">$F$15+DEPR!U35</f>
        <v>0</v>
      </c>
      <c r="W15" s="215" t="n">
        <f aca="false">$F$15+DEPR!V35</f>
        <v>0</v>
      </c>
      <c r="X15" s="215" t="n">
        <f aca="false">$F$15+DEPR!W35</f>
        <v>0</v>
      </c>
      <c r="Y15" s="215" t="n">
        <f aca="false">$F$15+DEPR!X35</f>
        <v>0</v>
      </c>
      <c r="Z15" s="215" t="n">
        <f aca="false">$F$15+DEPR!Y35</f>
        <v>0</v>
      </c>
      <c r="AA15" s="215" t="n">
        <f aca="false">$F$15+DEPR!Z35</f>
        <v>0</v>
      </c>
      <c r="AB15" s="215" t="n">
        <f aca="false">$F$15+DEPR!AA35</f>
        <v>0</v>
      </c>
      <c r="AC15" s="215" t="n">
        <f aca="false">$F$15+DEPR!AB35</f>
        <v>0</v>
      </c>
      <c r="AD15" s="215" t="n">
        <f aca="false">$F$15+DEPR!AC35</f>
        <v>0</v>
      </c>
      <c r="AE15" s="215" t="n">
        <f aca="false">$F$15+DEPR!AD35</f>
        <v>0</v>
      </c>
      <c r="AF15" s="215" t="n">
        <f aca="false">$F$15+DEPR!AE35</f>
        <v>0</v>
      </c>
      <c r="AG15" s="213" t="n">
        <f aca="false">SUM(F15:AA15)</f>
        <v>0</v>
      </c>
    </row>
    <row r="16" customFormat="false" ht="12.75" hidden="false" customHeight="false" outlineLevel="0" collapsed="false">
      <c r="A16" s="29"/>
      <c r="B16" s="30"/>
      <c r="C16" s="30" t="s">
        <v>409</v>
      </c>
      <c r="D16" s="30"/>
      <c r="E16" s="30"/>
      <c r="F16" s="357" t="n">
        <v>0</v>
      </c>
      <c r="G16" s="212" t="n">
        <f aca="false">$F$16+G14-G15</f>
        <v>13000</v>
      </c>
      <c r="H16" s="212" t="n">
        <f aca="false">$F$16+H14-H15</f>
        <v>13000</v>
      </c>
      <c r="I16" s="212" t="n">
        <f aca="false">$F$16+I14-I15</f>
        <v>13000</v>
      </c>
      <c r="J16" s="212" t="n">
        <f aca="false">$F$16+J14-J15</f>
        <v>13000</v>
      </c>
      <c r="K16" s="212" t="n">
        <f aca="false">$F$16+K14-K15</f>
        <v>13000</v>
      </c>
      <c r="L16" s="212" t="n">
        <f aca="false">$F$16+L14-L15</f>
        <v>13000</v>
      </c>
      <c r="M16" s="212" t="n">
        <f aca="false">$F$16+M14-M15</f>
        <v>13000</v>
      </c>
      <c r="N16" s="212" t="n">
        <f aca="false">$F$16+N14-N15</f>
        <v>13000</v>
      </c>
      <c r="O16" s="212" t="n">
        <f aca="false">$F$16+O14-O15</f>
        <v>13000</v>
      </c>
      <c r="P16" s="212" t="n">
        <f aca="false">$F$16+P14-P15</f>
        <v>13000</v>
      </c>
      <c r="Q16" s="212" t="n">
        <f aca="false">$F$16+Q14-Q15</f>
        <v>13000</v>
      </c>
      <c r="R16" s="212" t="n">
        <f aca="false">$F$16+R14-R15</f>
        <v>13000</v>
      </c>
      <c r="S16" s="212" t="n">
        <f aca="false">$F$16+S14-S15</f>
        <v>13000</v>
      </c>
      <c r="T16" s="212" t="n">
        <f aca="false">$F$16+T14-T15</f>
        <v>13000</v>
      </c>
      <c r="U16" s="212" t="n">
        <f aca="false">$F$16+U14-U15</f>
        <v>13000</v>
      </c>
      <c r="V16" s="212" t="n">
        <f aca="false">$F$16+V14-V15</f>
        <v>13000</v>
      </c>
      <c r="W16" s="212" t="n">
        <f aca="false">$F$16+W14-W15</f>
        <v>13000</v>
      </c>
      <c r="X16" s="212" t="n">
        <f aca="false">$F$16+X14-X15</f>
        <v>13000</v>
      </c>
      <c r="Y16" s="212" t="n">
        <f aca="false">$F$16+Y14-Y15</f>
        <v>13000</v>
      </c>
      <c r="Z16" s="212" t="n">
        <f aca="false">$F$16+Z14-Z15</f>
        <v>13000</v>
      </c>
      <c r="AA16" s="212" t="n">
        <f aca="false">$F$16+AA14-AA15</f>
        <v>13000</v>
      </c>
      <c r="AB16" s="212" t="n">
        <f aca="false">$F$16+AB14-AB15</f>
        <v>13000</v>
      </c>
      <c r="AC16" s="212" t="n">
        <f aca="false">$F$16+AC14-AC15</f>
        <v>13000</v>
      </c>
      <c r="AD16" s="212" t="n">
        <f aca="false">$F$16+AD14-AD15</f>
        <v>13000</v>
      </c>
      <c r="AE16" s="212" t="n">
        <f aca="false">$F$16+AE14-AE15</f>
        <v>13000</v>
      </c>
      <c r="AF16" s="212" t="n">
        <f aca="false">$F$16+AF14-AF15</f>
        <v>13000</v>
      </c>
      <c r="AG16" s="213" t="n">
        <f aca="false">SUM(F16:AA16)</f>
        <v>273000</v>
      </c>
    </row>
    <row r="17" customFormat="false" ht="12.75" hidden="false" customHeight="false" outlineLevel="0" collapsed="false">
      <c r="A17" s="29"/>
      <c r="B17" s="30" t="s">
        <v>410</v>
      </c>
      <c r="C17" s="30"/>
      <c r="D17" s="30"/>
      <c r="E17" s="30"/>
      <c r="F17" s="357" t="n">
        <v>0</v>
      </c>
      <c r="G17" s="212" t="n">
        <v>0</v>
      </c>
      <c r="H17" s="212" t="n">
        <v>0</v>
      </c>
      <c r="I17" s="212" t="n">
        <v>0</v>
      </c>
      <c r="J17" s="212" t="n">
        <v>0</v>
      </c>
      <c r="K17" s="212" t="n">
        <v>0</v>
      </c>
      <c r="L17" s="212" t="n">
        <v>0</v>
      </c>
      <c r="M17" s="212" t="n">
        <v>0</v>
      </c>
      <c r="N17" s="212" t="n">
        <v>0</v>
      </c>
      <c r="O17" s="212" t="n">
        <v>0</v>
      </c>
      <c r="P17" s="212" t="n">
        <v>0</v>
      </c>
      <c r="Q17" s="212" t="n">
        <v>0</v>
      </c>
      <c r="R17" s="212" t="n">
        <v>0</v>
      </c>
      <c r="S17" s="212" t="n">
        <v>0</v>
      </c>
      <c r="T17" s="212" t="n">
        <v>0</v>
      </c>
      <c r="U17" s="212" t="n">
        <v>0</v>
      </c>
      <c r="V17" s="212" t="n">
        <v>0</v>
      </c>
      <c r="W17" s="212" t="n">
        <v>0</v>
      </c>
      <c r="X17" s="212" t="n">
        <v>0</v>
      </c>
      <c r="Y17" s="212" t="n">
        <v>0</v>
      </c>
      <c r="Z17" s="212" t="n">
        <v>0</v>
      </c>
      <c r="AA17" s="212" t="n">
        <v>0</v>
      </c>
      <c r="AB17" s="212" t="n">
        <v>0</v>
      </c>
      <c r="AC17" s="212" t="n">
        <v>0</v>
      </c>
      <c r="AD17" s="212" t="n">
        <v>0</v>
      </c>
      <c r="AE17" s="212" t="n">
        <v>0</v>
      </c>
      <c r="AF17" s="212" t="n">
        <v>0</v>
      </c>
      <c r="AG17" s="213" t="n">
        <f aca="false">SUM(F17:AA17)</f>
        <v>0</v>
      </c>
    </row>
    <row r="18" customFormat="false" ht="12.75" hidden="false" customHeight="false" outlineLevel="0" collapsed="false">
      <c r="A18" s="29"/>
      <c r="B18" s="30"/>
      <c r="C18" s="30"/>
      <c r="D18" s="30"/>
      <c r="E18" s="30"/>
      <c r="F18" s="357"/>
      <c r="G18" s="212" t="s">
        <v>1</v>
      </c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3" t="n">
        <f aca="false">SUM(F18:AA18)</f>
        <v>0</v>
      </c>
    </row>
    <row r="19" customFormat="false" ht="12.75" hidden="false" customHeight="false" outlineLevel="0" collapsed="false">
      <c r="A19" s="29" t="s">
        <v>411</v>
      </c>
      <c r="B19" s="30"/>
      <c r="C19" s="30"/>
      <c r="D19" s="30"/>
      <c r="E19" s="30"/>
      <c r="F19" s="437" t="n">
        <v>0</v>
      </c>
      <c r="G19" s="279" t="e">
        <f aca="false">SUM(G8:G12)+G16+SUM(G17)</f>
        <v>#REF!</v>
      </c>
      <c r="H19" s="279" t="e">
        <f aca="false">SUM(H8:H12)+H16+SUM(H17)</f>
        <v>#REF!</v>
      </c>
      <c r="I19" s="279" t="e">
        <f aca="false">SUM(I8:I12)+I16+SUM(I17)</f>
        <v>#REF!</v>
      </c>
      <c r="J19" s="279" t="e">
        <f aca="false">SUM(J8:J12)+J16+SUM(J17)</f>
        <v>#REF!</v>
      </c>
      <c r="K19" s="279" t="e">
        <f aca="false">SUM(K8:K12)+K16+SUM(K17)</f>
        <v>#REF!</v>
      </c>
      <c r="L19" s="279" t="e">
        <f aca="false">SUM(L8:L12)+L16+SUM(L17)</f>
        <v>#REF!</v>
      </c>
      <c r="M19" s="279" t="e">
        <f aca="false">SUM(M8:M12)+M16+SUM(M17)</f>
        <v>#REF!</v>
      </c>
      <c r="N19" s="279" t="e">
        <f aca="false">SUM(N8:N12)+N16+SUM(N17)</f>
        <v>#REF!</v>
      </c>
      <c r="O19" s="279" t="e">
        <f aca="false">SUM(O8:O12)+O16+SUM(O17)</f>
        <v>#REF!</v>
      </c>
      <c r="P19" s="279" t="e">
        <f aca="false">SUM(P8:P12)+P16+SUM(P17)</f>
        <v>#REF!</v>
      </c>
      <c r="Q19" s="279" t="e">
        <f aca="false">SUM(Q8:Q12)+Q16+SUM(Q17)</f>
        <v>#REF!</v>
      </c>
      <c r="R19" s="279" t="e">
        <f aca="false">SUM(R8:R12)+R16+SUM(R17)</f>
        <v>#REF!</v>
      </c>
      <c r="S19" s="279" t="e">
        <f aca="false">SUM(S8:S12)+S16+SUM(S17)</f>
        <v>#REF!</v>
      </c>
      <c r="T19" s="279" t="e">
        <f aca="false">SUM(T8:T12)+T16+SUM(T17)</f>
        <v>#REF!</v>
      </c>
      <c r="U19" s="279" t="e">
        <f aca="false">SUM(U8:U12)+U16+SUM(U17)</f>
        <v>#REF!</v>
      </c>
      <c r="V19" s="279" t="e">
        <f aca="false">SUM(V8:V12)+V16+SUM(V17)</f>
        <v>#REF!</v>
      </c>
      <c r="W19" s="279" t="e">
        <f aca="false">SUM(W8:W12)+W16+SUM(W17)</f>
        <v>#REF!</v>
      </c>
      <c r="X19" s="279" t="e">
        <f aca="false">SUM(X8:X12)+X16+SUM(X17)</f>
        <v>#REF!</v>
      </c>
      <c r="Y19" s="279" t="e">
        <f aca="false">SUM(Y8:Y12)+Y16+SUM(Y17)</f>
        <v>#REF!</v>
      </c>
      <c r="Z19" s="279" t="e">
        <f aca="false">SUM(Z8:Z12)+Z16+SUM(Z17)</f>
        <v>#REF!</v>
      </c>
      <c r="AA19" s="279" t="e">
        <f aca="false">SUM(AA8:AA12)+AA16+SUM(AA17)</f>
        <v>#REF!</v>
      </c>
      <c r="AB19" s="279" t="e">
        <f aca="false">SUM(AB8:AB12)+AB16+SUM(AB17)</f>
        <v>#REF!</v>
      </c>
      <c r="AC19" s="279" t="e">
        <f aca="false">SUM(AC8:AC12)+AC16+SUM(AC17)</f>
        <v>#REF!</v>
      </c>
      <c r="AD19" s="279" t="e">
        <f aca="false">SUM(AD8:AD12)+AD16+SUM(AD17)</f>
        <v>#REF!</v>
      </c>
      <c r="AE19" s="279" t="e">
        <f aca="false">SUM(AE8:AE12)+AE16+SUM(AE17)</f>
        <v>#REF!</v>
      </c>
      <c r="AF19" s="279" t="e">
        <f aca="false">SUM(AF8:AF12)+AF16+SUM(AF17)</f>
        <v>#REF!</v>
      </c>
      <c r="AG19" s="213" t="e">
        <f aca="false">SUM(F19:AA19)</f>
        <v>#REF!</v>
      </c>
    </row>
    <row r="20" customFormat="false" ht="12.75" hidden="false" customHeight="false" outlineLevel="0" collapsed="false">
      <c r="A20" s="29"/>
      <c r="B20" s="30"/>
      <c r="C20" s="30"/>
      <c r="D20" s="30"/>
      <c r="E20" s="30"/>
      <c r="F20" s="357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3" t="s">
        <v>1</v>
      </c>
    </row>
    <row r="21" customFormat="false" ht="12.75" hidden="false" customHeight="false" outlineLevel="0" collapsed="false">
      <c r="A21" s="29" t="s">
        <v>412</v>
      </c>
      <c r="B21" s="30"/>
      <c r="C21" s="30"/>
      <c r="D21" s="30"/>
      <c r="E21" s="30"/>
      <c r="F21" s="357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3" t="s">
        <v>1</v>
      </c>
    </row>
    <row r="22" customFormat="false" ht="12.75" hidden="false" customHeight="false" outlineLevel="0" collapsed="false">
      <c r="A22" s="29"/>
      <c r="B22" s="30" t="s">
        <v>413</v>
      </c>
      <c r="C22" s="30"/>
      <c r="D22" s="30"/>
      <c r="E22" s="30"/>
      <c r="F22" s="357" t="n">
        <v>0</v>
      </c>
      <c r="G22" s="212" t="n">
        <v>0</v>
      </c>
      <c r="H22" s="212" t="n">
        <v>0</v>
      </c>
      <c r="I22" s="212" t="n">
        <v>0</v>
      </c>
      <c r="J22" s="212" t="n">
        <v>0</v>
      </c>
      <c r="K22" s="212" t="n">
        <v>0</v>
      </c>
      <c r="L22" s="212" t="n">
        <v>0</v>
      </c>
      <c r="M22" s="212" t="n">
        <v>0</v>
      </c>
      <c r="N22" s="212" t="n">
        <v>0</v>
      </c>
      <c r="O22" s="212" t="n">
        <v>0</v>
      </c>
      <c r="P22" s="212" t="n">
        <v>0</v>
      </c>
      <c r="Q22" s="212" t="n">
        <v>0</v>
      </c>
      <c r="R22" s="212" t="n">
        <v>0</v>
      </c>
      <c r="S22" s="212" t="n">
        <v>0</v>
      </c>
      <c r="T22" s="212" t="n">
        <v>0</v>
      </c>
      <c r="U22" s="212" t="n">
        <v>0</v>
      </c>
      <c r="V22" s="212" t="n">
        <v>0</v>
      </c>
      <c r="W22" s="212" t="n">
        <v>0</v>
      </c>
      <c r="X22" s="212" t="n">
        <v>0</v>
      </c>
      <c r="Y22" s="212" t="n">
        <v>0</v>
      </c>
      <c r="Z22" s="212" t="n">
        <v>0</v>
      </c>
      <c r="AA22" s="212" t="n">
        <v>0</v>
      </c>
      <c r="AB22" s="212" t="n">
        <v>0</v>
      </c>
      <c r="AC22" s="212" t="n">
        <v>0</v>
      </c>
      <c r="AD22" s="212" t="n">
        <v>0</v>
      </c>
      <c r="AE22" s="212" t="n">
        <v>0</v>
      </c>
      <c r="AF22" s="212" t="n">
        <v>0</v>
      </c>
      <c r="AG22" s="213" t="n">
        <f aca="false">SUM(F22:AA22)</f>
        <v>0</v>
      </c>
    </row>
    <row r="23" customFormat="false" ht="12.75" hidden="false" customHeight="false" outlineLevel="0" collapsed="false">
      <c r="A23" s="29"/>
      <c r="B23" s="30" t="s">
        <v>414</v>
      </c>
      <c r="C23" s="30"/>
      <c r="D23" s="30"/>
      <c r="E23" s="30"/>
      <c r="F23" s="357" t="n">
        <v>0</v>
      </c>
      <c r="G23" s="212" t="n">
        <v>0</v>
      </c>
      <c r="H23" s="212" t="n">
        <v>0</v>
      </c>
      <c r="I23" s="212" t="n">
        <v>0</v>
      </c>
      <c r="J23" s="212" t="n">
        <v>0</v>
      </c>
      <c r="K23" s="212" t="n">
        <v>0</v>
      </c>
      <c r="L23" s="212" t="n">
        <v>0</v>
      </c>
      <c r="M23" s="212" t="n">
        <v>0</v>
      </c>
      <c r="N23" s="212" t="n">
        <v>0</v>
      </c>
      <c r="O23" s="212" t="n">
        <v>0</v>
      </c>
      <c r="P23" s="212" t="n">
        <v>0</v>
      </c>
      <c r="Q23" s="212" t="n">
        <v>0</v>
      </c>
      <c r="R23" s="212" t="n">
        <v>0</v>
      </c>
      <c r="S23" s="212" t="n">
        <v>0</v>
      </c>
      <c r="T23" s="212" t="n">
        <v>0</v>
      </c>
      <c r="U23" s="212" t="n">
        <v>0</v>
      </c>
      <c r="V23" s="212" t="n">
        <v>0</v>
      </c>
      <c r="W23" s="212" t="n">
        <v>0</v>
      </c>
      <c r="X23" s="212" t="n">
        <v>0</v>
      </c>
      <c r="Y23" s="212" t="n">
        <v>0</v>
      </c>
      <c r="Z23" s="212" t="n">
        <v>0</v>
      </c>
      <c r="AA23" s="212" t="n">
        <v>0</v>
      </c>
      <c r="AB23" s="212" t="n">
        <v>0</v>
      </c>
      <c r="AC23" s="212" t="n">
        <v>0</v>
      </c>
      <c r="AD23" s="212" t="n">
        <v>0</v>
      </c>
      <c r="AE23" s="212" t="n">
        <v>0</v>
      </c>
      <c r="AF23" s="212" t="n">
        <v>0</v>
      </c>
      <c r="AG23" s="213" t="n">
        <f aca="false">SUM(F23:AA23)</f>
        <v>0</v>
      </c>
    </row>
    <row r="24" customFormat="false" ht="12.75" hidden="false" customHeight="false" outlineLevel="0" collapsed="false">
      <c r="A24" s="29"/>
      <c r="B24" s="30" t="s">
        <v>415</v>
      </c>
      <c r="C24" s="30"/>
      <c r="D24" s="30"/>
      <c r="E24" s="30"/>
      <c r="F24" s="357" t="n">
        <v>0</v>
      </c>
      <c r="G24" s="212" t="n">
        <v>0</v>
      </c>
      <c r="H24" s="212" t="n">
        <v>0</v>
      </c>
      <c r="I24" s="212" t="n">
        <v>0</v>
      </c>
      <c r="J24" s="212" t="n">
        <v>0</v>
      </c>
      <c r="K24" s="212" t="n">
        <v>0</v>
      </c>
      <c r="L24" s="212" t="n">
        <v>0</v>
      </c>
      <c r="M24" s="212" t="n">
        <v>0</v>
      </c>
      <c r="N24" s="212" t="n">
        <v>0</v>
      </c>
      <c r="O24" s="212" t="n">
        <v>0</v>
      </c>
      <c r="P24" s="212" t="n">
        <v>0</v>
      </c>
      <c r="Q24" s="212" t="n">
        <v>0</v>
      </c>
      <c r="R24" s="212" t="n">
        <v>0</v>
      </c>
      <c r="S24" s="212" t="n">
        <v>0</v>
      </c>
      <c r="T24" s="212" t="n">
        <v>0</v>
      </c>
      <c r="U24" s="212" t="n">
        <v>0</v>
      </c>
      <c r="V24" s="212" t="n">
        <v>0</v>
      </c>
      <c r="W24" s="212" t="n">
        <v>0</v>
      </c>
      <c r="X24" s="212" t="n">
        <v>0</v>
      </c>
      <c r="Y24" s="212" t="n">
        <v>0</v>
      </c>
      <c r="Z24" s="212" t="n">
        <v>0</v>
      </c>
      <c r="AA24" s="212" t="n">
        <v>0</v>
      </c>
      <c r="AB24" s="212" t="n">
        <v>0</v>
      </c>
      <c r="AC24" s="212" t="n">
        <v>0</v>
      </c>
      <c r="AD24" s="212" t="n">
        <v>0</v>
      </c>
      <c r="AE24" s="212" t="n">
        <v>0</v>
      </c>
      <c r="AF24" s="212" t="n">
        <v>0</v>
      </c>
      <c r="AG24" s="213" t="n">
        <f aca="false">SUM(F24:AA24)</f>
        <v>0</v>
      </c>
    </row>
    <row r="25" customFormat="false" ht="12.75" hidden="false" customHeight="false" outlineLevel="0" collapsed="false">
      <c r="A25" s="29"/>
      <c r="B25" s="438" t="s">
        <v>416</v>
      </c>
      <c r="C25" s="438"/>
      <c r="D25" s="30"/>
      <c r="E25" s="30"/>
      <c r="F25" s="357" t="n">
        <v>0</v>
      </c>
      <c r="G25" s="212" t="e">
        <f aca="false">F25+(G54+G70)</f>
        <v>#REF!</v>
      </c>
      <c r="H25" s="212" t="e">
        <f aca="false">G25+(H54+H70)</f>
        <v>#REF!</v>
      </c>
      <c r="I25" s="212" t="e">
        <f aca="false">H25+(I54+I70)</f>
        <v>#REF!</v>
      </c>
      <c r="J25" s="212" t="e">
        <f aca="false">I25+(J54+J70)</f>
        <v>#REF!</v>
      </c>
      <c r="K25" s="212" t="e">
        <f aca="false">J25+(K54+K70)</f>
        <v>#REF!</v>
      </c>
      <c r="L25" s="212" t="e">
        <f aca="false">K25+(L54+L70)</f>
        <v>#REF!</v>
      </c>
      <c r="M25" s="212" t="e">
        <f aca="false">L25+(M54+M70)</f>
        <v>#REF!</v>
      </c>
      <c r="N25" s="212" t="e">
        <f aca="false">M25+(N54+N70)</f>
        <v>#REF!</v>
      </c>
      <c r="O25" s="212" t="e">
        <f aca="false">N25+(O54+O70)</f>
        <v>#REF!</v>
      </c>
      <c r="P25" s="212" t="e">
        <f aca="false">O25+(P54+P70)</f>
        <v>#REF!</v>
      </c>
      <c r="Q25" s="212" t="e">
        <f aca="false">P25+(Q54+Q70)</f>
        <v>#REF!</v>
      </c>
      <c r="R25" s="212" t="e">
        <f aca="false">Q25+(R54+R70)</f>
        <v>#REF!</v>
      </c>
      <c r="S25" s="212" t="e">
        <f aca="false">R25+(S54+S70)</f>
        <v>#REF!</v>
      </c>
      <c r="T25" s="212" t="e">
        <f aca="false">S25+(T54+T70)</f>
        <v>#REF!</v>
      </c>
      <c r="U25" s="212" t="e">
        <f aca="false">T25+(U54+U70)</f>
        <v>#REF!</v>
      </c>
      <c r="V25" s="212" t="e">
        <f aca="false">U25+(V54+V70)</f>
        <v>#VALUE!</v>
      </c>
      <c r="W25" s="212" t="e">
        <f aca="false">V25+(W54+W70)</f>
        <v>#REF!</v>
      </c>
      <c r="X25" s="212" t="e">
        <f aca="false">W25+(X54+X70)</f>
        <v>#REF!</v>
      </c>
      <c r="Y25" s="212" t="e">
        <f aca="false">X25+(Y54+Y70)</f>
        <v>#REF!</v>
      </c>
      <c r="Z25" s="212" t="e">
        <f aca="false">Y25+(Z54+Z70)</f>
        <v>#REF!</v>
      </c>
      <c r="AA25" s="212" t="e">
        <f aca="false">Z25+(AA54+AA70)</f>
        <v>#REF!</v>
      </c>
      <c r="AB25" s="212" t="e">
        <f aca="false">AA25+(AB54+AB70)</f>
        <v>#REF!</v>
      </c>
      <c r="AC25" s="212" t="e">
        <f aca="false">AB25+(AC54+AC70)</f>
        <v>#REF!</v>
      </c>
      <c r="AD25" s="212" t="e">
        <f aca="false">AC25+(AD54+AD70)</f>
        <v>#REF!</v>
      </c>
      <c r="AE25" s="212" t="e">
        <f aca="false">AD25+(AE54+AE70)</f>
        <v>#REF!</v>
      </c>
      <c r="AF25" s="212" t="e">
        <f aca="false">AE25+(AF54+AF70)</f>
        <v>#REF!</v>
      </c>
      <c r="AG25" s="213" t="e">
        <f aca="false">SUM(F25:AA25)</f>
        <v>#REF!</v>
      </c>
    </row>
    <row r="26" customFormat="false" ht="12.75" hidden="false" customHeight="false" outlineLevel="0" collapsed="false">
      <c r="A26" s="29"/>
      <c r="B26" s="30" t="s">
        <v>417</v>
      </c>
      <c r="C26" s="30"/>
      <c r="D26" s="30"/>
      <c r="E26" s="30"/>
      <c r="F26" s="357" t="n">
        <v>0</v>
      </c>
      <c r="G26" s="212" t="e">
        <f aca="false">G74+G75+$F$26</f>
        <v>#REF!</v>
      </c>
      <c r="H26" s="212" t="e">
        <f aca="false">H74+H75+$F$26+G26</f>
        <v>#REF!</v>
      </c>
      <c r="I26" s="212" t="e">
        <f aca="false">I74+I75+$F$26+H26</f>
        <v>#REF!</v>
      </c>
      <c r="J26" s="212" t="e">
        <f aca="false">J74+J75+$F$26+I26</f>
        <v>#REF!</v>
      </c>
      <c r="K26" s="212" t="e">
        <f aca="false">K74+K75+$F$26+J26</f>
        <v>#REF!</v>
      </c>
      <c r="L26" s="212" t="e">
        <f aca="false">L74+L75+$F$26+K26</f>
        <v>#REF!</v>
      </c>
      <c r="M26" s="212" t="e">
        <f aca="false">M74+M75+$F$26+L26</f>
        <v>#REF!</v>
      </c>
      <c r="N26" s="212" t="e">
        <f aca="false">N74+N75+$F$26+M26</f>
        <v>#REF!</v>
      </c>
      <c r="O26" s="212" t="e">
        <f aca="false">O74+O75+$F$26+N26</f>
        <v>#REF!</v>
      </c>
      <c r="P26" s="212" t="e">
        <f aca="false">P74+P75+$F$26+O26</f>
        <v>#REF!</v>
      </c>
      <c r="Q26" s="212" t="e">
        <f aca="false">Q74+Q75+$F$26+P26</f>
        <v>#REF!</v>
      </c>
      <c r="R26" s="212" t="e">
        <f aca="false">R74+R75+$F$26+Q26</f>
        <v>#REF!</v>
      </c>
      <c r="S26" s="212" t="e">
        <f aca="false">S74+S75+$F$26+R26</f>
        <v>#REF!</v>
      </c>
      <c r="T26" s="212" t="e">
        <f aca="false">T74+T75+$F$26+S26</f>
        <v>#REF!</v>
      </c>
      <c r="U26" s="212" t="e">
        <f aca="false">U74+U75+$F$26+T26</f>
        <v>#REF!</v>
      </c>
      <c r="V26" s="212" t="e">
        <f aca="false">V74+V75+$F$26+U26</f>
        <v>#REF!</v>
      </c>
      <c r="W26" s="212" t="e">
        <f aca="false">W74+W75+$F$26+V26</f>
        <v>#REF!</v>
      </c>
      <c r="X26" s="212" t="e">
        <f aca="false">X74+X75+$F$26+W26</f>
        <v>#REF!</v>
      </c>
      <c r="Y26" s="212" t="e">
        <f aca="false">Y74+Y75+$F$26+X26</f>
        <v>#REF!</v>
      </c>
      <c r="Z26" s="212" t="e">
        <f aca="false">Z74+Z75+$F$26+Y26</f>
        <v>#REF!</v>
      </c>
      <c r="AA26" s="212" t="e">
        <f aca="false">AA74+AA75+$F$26+Z26</f>
        <v>#REF!</v>
      </c>
      <c r="AB26" s="212" t="e">
        <f aca="false">AB74+AB75+$F$26+AA26</f>
        <v>#REF!</v>
      </c>
      <c r="AC26" s="212" t="e">
        <f aca="false">AC74+AC75+$F$26+AB26</f>
        <v>#REF!</v>
      </c>
      <c r="AD26" s="212" t="e">
        <f aca="false">AD74+AD75+$F$26+AC26</f>
        <v>#REF!</v>
      </c>
      <c r="AE26" s="212" t="e">
        <f aca="false">AE74+AE75+$F$26+AD26</f>
        <v>#REF!</v>
      </c>
      <c r="AF26" s="212" t="e">
        <f aca="false">AF74+AF75+$F$26+AE26</f>
        <v>#REF!</v>
      </c>
      <c r="AG26" s="213" t="e">
        <f aca="false">SUM(F26:AA26)</f>
        <v>#REF!</v>
      </c>
    </row>
    <row r="27" customFormat="false" ht="12.75" hidden="false" customHeight="false" outlineLevel="0" collapsed="false">
      <c r="A27" s="29"/>
      <c r="B27" s="30" t="s">
        <v>418</v>
      </c>
      <c r="C27" s="30"/>
      <c r="D27" s="30"/>
      <c r="E27" s="30"/>
      <c r="F27" s="436" t="n">
        <v>0</v>
      </c>
      <c r="G27" s="215" t="n">
        <v>0</v>
      </c>
      <c r="H27" s="215" t="n">
        <v>0</v>
      </c>
      <c r="I27" s="215" t="n">
        <v>0</v>
      </c>
      <c r="J27" s="215" t="n">
        <v>0</v>
      </c>
      <c r="K27" s="215" t="n">
        <v>0</v>
      </c>
      <c r="L27" s="215" t="n">
        <v>0</v>
      </c>
      <c r="M27" s="215" t="n">
        <v>0</v>
      </c>
      <c r="N27" s="215" t="n">
        <v>0</v>
      </c>
      <c r="O27" s="215" t="n">
        <v>0</v>
      </c>
      <c r="P27" s="215" t="n">
        <v>0</v>
      </c>
      <c r="Q27" s="215" t="n">
        <v>0</v>
      </c>
      <c r="R27" s="215" t="n">
        <v>0</v>
      </c>
      <c r="S27" s="215" t="n">
        <v>0</v>
      </c>
      <c r="T27" s="215" t="n">
        <v>0</v>
      </c>
      <c r="U27" s="215" t="n">
        <v>0</v>
      </c>
      <c r="V27" s="215" t="n">
        <v>0</v>
      </c>
      <c r="W27" s="215" t="n">
        <v>0</v>
      </c>
      <c r="X27" s="215" t="n">
        <v>0</v>
      </c>
      <c r="Y27" s="215" t="n">
        <v>0</v>
      </c>
      <c r="Z27" s="215" t="n">
        <v>0</v>
      </c>
      <c r="AA27" s="215" t="n">
        <v>0</v>
      </c>
      <c r="AB27" s="215" t="n">
        <v>0</v>
      </c>
      <c r="AC27" s="215" t="n">
        <v>0</v>
      </c>
      <c r="AD27" s="215" t="n">
        <v>0</v>
      </c>
      <c r="AE27" s="215" t="n">
        <v>0</v>
      </c>
      <c r="AF27" s="215" t="n">
        <v>0</v>
      </c>
      <c r="AG27" s="213" t="n">
        <f aca="false">SUM(F27:AA27)</f>
        <v>0</v>
      </c>
    </row>
    <row r="28" customFormat="false" ht="12.75" hidden="false" customHeight="false" outlineLevel="0" collapsed="false">
      <c r="A28" s="29"/>
      <c r="B28" s="30"/>
      <c r="C28" s="30" t="s">
        <v>419</v>
      </c>
      <c r="D28" s="30"/>
      <c r="E28" s="30"/>
      <c r="F28" s="357" t="n">
        <v>0</v>
      </c>
      <c r="G28" s="212" t="e">
        <f aca="false">SUM(G22:G27)</f>
        <v>#REF!</v>
      </c>
      <c r="H28" s="212" t="e">
        <f aca="false">SUM(H22:H27)</f>
        <v>#REF!</v>
      </c>
      <c r="I28" s="212" t="e">
        <f aca="false">SUM(I22:I27)</f>
        <v>#REF!</v>
      </c>
      <c r="J28" s="212" t="e">
        <f aca="false">SUM(J22:J27)</f>
        <v>#REF!</v>
      </c>
      <c r="K28" s="212" t="e">
        <f aca="false">SUM(K22:K27)</f>
        <v>#REF!</v>
      </c>
      <c r="L28" s="212" t="e">
        <f aca="false">SUM(L22:L27)</f>
        <v>#REF!</v>
      </c>
      <c r="M28" s="212" t="e">
        <f aca="false">SUM(M22:M27)</f>
        <v>#REF!</v>
      </c>
      <c r="N28" s="212" t="e">
        <f aca="false">SUM(N22:N27)</f>
        <v>#REF!</v>
      </c>
      <c r="O28" s="212" t="e">
        <f aca="false">SUM(O22:O27)</f>
        <v>#REF!</v>
      </c>
      <c r="P28" s="212" t="e">
        <f aca="false">SUM(P22:P27)</f>
        <v>#REF!</v>
      </c>
      <c r="Q28" s="212" t="e">
        <f aca="false">SUM(Q22:Q27)</f>
        <v>#REF!</v>
      </c>
      <c r="R28" s="212" t="e">
        <f aca="false">SUM(R22:R27)</f>
        <v>#REF!</v>
      </c>
      <c r="S28" s="212" t="e">
        <f aca="false">SUM(S22:S27)</f>
        <v>#REF!</v>
      </c>
      <c r="T28" s="212" t="e">
        <f aca="false">SUM(T22:T27)</f>
        <v>#REF!</v>
      </c>
      <c r="U28" s="212" t="e">
        <f aca="false">SUM(U22:U27)</f>
        <v>#REF!</v>
      </c>
      <c r="V28" s="212" t="e">
        <f aca="false">SUM(V22:V27)</f>
        <v>#VALUE!</v>
      </c>
      <c r="W28" s="212" t="e">
        <f aca="false">SUM(W22:W27)</f>
        <v>#REF!</v>
      </c>
      <c r="X28" s="212" t="e">
        <f aca="false">SUM(X22:X27)</f>
        <v>#REF!</v>
      </c>
      <c r="Y28" s="212" t="e">
        <f aca="false">SUM(Y22:Y27)</f>
        <v>#REF!</v>
      </c>
      <c r="Z28" s="212" t="e">
        <f aca="false">SUM(Z22:Z27)</f>
        <v>#REF!</v>
      </c>
      <c r="AA28" s="212" t="e">
        <f aca="false">SUM(AA22:AA27)</f>
        <v>#REF!</v>
      </c>
      <c r="AB28" s="212" t="e">
        <f aca="false">SUM(AB22:AB27)</f>
        <v>#REF!</v>
      </c>
      <c r="AC28" s="212" t="e">
        <f aca="false">SUM(AC22:AC27)</f>
        <v>#REF!</v>
      </c>
      <c r="AD28" s="212" t="e">
        <f aca="false">SUM(AD22:AD27)</f>
        <v>#REF!</v>
      </c>
      <c r="AE28" s="212" t="e">
        <f aca="false">SUM(AE22:AE27)</f>
        <v>#REF!</v>
      </c>
      <c r="AF28" s="212" t="e">
        <f aca="false">SUM(AF22:AF27)</f>
        <v>#REF!</v>
      </c>
      <c r="AG28" s="213" t="e">
        <f aca="false">SUM(F28:AA28)</f>
        <v>#REF!</v>
      </c>
    </row>
    <row r="29" customFormat="false" ht="12.75" hidden="false" customHeight="false" outlineLevel="0" collapsed="false">
      <c r="A29" s="29"/>
      <c r="B29" s="30"/>
      <c r="C29" s="30"/>
      <c r="D29" s="30"/>
      <c r="E29" s="30"/>
      <c r="F29" s="357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3" t="s">
        <v>1</v>
      </c>
    </row>
    <row r="30" customFormat="false" ht="12.75" hidden="false" customHeight="false" outlineLevel="0" collapsed="false">
      <c r="A30" s="29" t="s">
        <v>420</v>
      </c>
      <c r="B30" s="30"/>
      <c r="C30" s="30"/>
      <c r="D30" s="30"/>
      <c r="E30" s="30"/>
      <c r="F30" s="357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3" t="s">
        <v>1</v>
      </c>
    </row>
    <row r="31" customFormat="false" ht="12.75" hidden="false" customHeight="false" outlineLevel="0" collapsed="false">
      <c r="A31" s="29"/>
      <c r="B31" s="30" t="s">
        <v>421</v>
      </c>
      <c r="C31" s="30"/>
      <c r="D31" s="30"/>
      <c r="E31" s="30"/>
      <c r="F31" s="357" t="n">
        <v>0</v>
      </c>
      <c r="G31" s="212" t="e">
        <f aca="false">F31+G81</f>
        <v>#REF!</v>
      </c>
      <c r="H31" s="212" t="e">
        <f aca="false">G31+H81</f>
        <v>#REF!</v>
      </c>
      <c r="I31" s="212" t="e">
        <f aca="false">H31+I81</f>
        <v>#REF!</v>
      </c>
      <c r="J31" s="212" t="e">
        <f aca="false">I31+J81</f>
        <v>#REF!</v>
      </c>
      <c r="K31" s="212" t="e">
        <f aca="false">J31+K81</f>
        <v>#REF!</v>
      </c>
      <c r="L31" s="212" t="e">
        <f aca="false">K31+L81</f>
        <v>#REF!</v>
      </c>
      <c r="M31" s="212" t="e">
        <f aca="false">L31+M81</f>
        <v>#REF!</v>
      </c>
      <c r="N31" s="212" t="e">
        <f aca="false">M31+N81</f>
        <v>#REF!</v>
      </c>
      <c r="O31" s="212" t="e">
        <f aca="false">N31+O81</f>
        <v>#REF!</v>
      </c>
      <c r="P31" s="212" t="e">
        <f aca="false">O31+P81</f>
        <v>#REF!</v>
      </c>
      <c r="Q31" s="212" t="e">
        <f aca="false">P31+Q81</f>
        <v>#REF!</v>
      </c>
      <c r="R31" s="212" t="e">
        <f aca="false">Q31+R81</f>
        <v>#REF!</v>
      </c>
      <c r="S31" s="212" t="e">
        <f aca="false">R31+S81</f>
        <v>#REF!</v>
      </c>
      <c r="T31" s="212" t="e">
        <f aca="false">S31+T81</f>
        <v>#REF!</v>
      </c>
      <c r="U31" s="212" t="e">
        <f aca="false">T31+U81</f>
        <v>#REF!</v>
      </c>
      <c r="V31" s="212" t="e">
        <f aca="false">U31+V81</f>
        <v>#REF!</v>
      </c>
      <c r="W31" s="212" t="e">
        <f aca="false">V31+W81</f>
        <v>#REF!</v>
      </c>
      <c r="X31" s="212" t="e">
        <f aca="false">W31+X81</f>
        <v>#REF!</v>
      </c>
      <c r="Y31" s="212" t="e">
        <f aca="false">X31+Y81</f>
        <v>#REF!</v>
      </c>
      <c r="Z31" s="212" t="e">
        <f aca="false">Y31+Z81</f>
        <v>#REF!</v>
      </c>
      <c r="AA31" s="212" t="e">
        <f aca="false">Z31+AA81</f>
        <v>#REF!</v>
      </c>
      <c r="AB31" s="212" t="e">
        <f aca="false">AA31+AB81</f>
        <v>#REF!</v>
      </c>
      <c r="AC31" s="212" t="e">
        <f aca="false">AB31+AC81</f>
        <v>#REF!</v>
      </c>
      <c r="AD31" s="212" t="e">
        <f aca="false">AC31+AD81</f>
        <v>#REF!</v>
      </c>
      <c r="AE31" s="212" t="e">
        <f aca="false">AD31+AE81</f>
        <v>#REF!</v>
      </c>
      <c r="AF31" s="212" t="e">
        <f aca="false">AE31+AF81</f>
        <v>#REF!</v>
      </c>
      <c r="AG31" s="213" t="e">
        <f aca="false">SUM(F31:AA31)</f>
        <v>#REF!</v>
      </c>
    </row>
    <row r="32" customFormat="false" ht="12.75" hidden="false" customHeight="false" outlineLevel="0" collapsed="false">
      <c r="A32" s="29"/>
      <c r="B32" s="30" t="s">
        <v>422</v>
      </c>
      <c r="C32" s="30"/>
      <c r="D32" s="30"/>
      <c r="E32" s="30"/>
      <c r="F32" s="357" t="n">
        <v>0</v>
      </c>
      <c r="G32" s="212" t="e">
        <f aca="false">F32+G83</f>
        <v>#REF!</v>
      </c>
      <c r="H32" s="212" t="e">
        <f aca="false">G32+H83</f>
        <v>#REF!</v>
      </c>
      <c r="I32" s="212" t="e">
        <f aca="false">H32+I83</f>
        <v>#REF!</v>
      </c>
      <c r="J32" s="212" t="e">
        <f aca="false">I32+J83</f>
        <v>#REF!</v>
      </c>
      <c r="K32" s="212" t="e">
        <f aca="false">J32+K83</f>
        <v>#REF!</v>
      </c>
      <c r="L32" s="212" t="e">
        <f aca="false">K32+L83</f>
        <v>#REF!</v>
      </c>
      <c r="M32" s="212" t="e">
        <f aca="false">L32+M83</f>
        <v>#REF!</v>
      </c>
      <c r="N32" s="212" t="e">
        <f aca="false">M32+N83</f>
        <v>#REF!</v>
      </c>
      <c r="O32" s="212" t="e">
        <f aca="false">N32+O83</f>
        <v>#REF!</v>
      </c>
      <c r="P32" s="212" t="e">
        <f aca="false">O32+P83</f>
        <v>#REF!</v>
      </c>
      <c r="Q32" s="212" t="e">
        <f aca="false">P32+Q83</f>
        <v>#REF!</v>
      </c>
      <c r="R32" s="212" t="e">
        <f aca="false">Q32+R83</f>
        <v>#REF!</v>
      </c>
      <c r="S32" s="212" t="e">
        <f aca="false">R32+S83</f>
        <v>#REF!</v>
      </c>
      <c r="T32" s="212" t="e">
        <f aca="false">S32+T83</f>
        <v>#REF!</v>
      </c>
      <c r="U32" s="212" t="e">
        <f aca="false">T32+U83</f>
        <v>#REF!</v>
      </c>
      <c r="V32" s="212" t="e">
        <f aca="false">U32+V83</f>
        <v>#VALUE!</v>
      </c>
      <c r="W32" s="212" t="e">
        <f aca="false">V32+W83</f>
        <v>#REF!</v>
      </c>
      <c r="X32" s="212" t="e">
        <f aca="false">W32+X83</f>
        <v>#REF!</v>
      </c>
      <c r="Y32" s="212" t="e">
        <f aca="false">X32+Y83</f>
        <v>#REF!</v>
      </c>
      <c r="Z32" s="212" t="e">
        <f aca="false">Y32+Z83</f>
        <v>#REF!</v>
      </c>
      <c r="AA32" s="212" t="e">
        <f aca="false">Z32+AA83</f>
        <v>#REF!</v>
      </c>
      <c r="AB32" s="212" t="e">
        <f aca="false">AA32+AB83</f>
        <v>#REF!</v>
      </c>
      <c r="AC32" s="212" t="e">
        <f aca="false">AB32+AC83</f>
        <v>#REF!</v>
      </c>
      <c r="AD32" s="212" t="e">
        <f aca="false">AC32+AD83</f>
        <v>#REF!</v>
      </c>
      <c r="AE32" s="212" t="e">
        <f aca="false">AD32+AE83</f>
        <v>#REF!</v>
      </c>
      <c r="AF32" s="212" t="e">
        <f aca="false">AE32+AF83</f>
        <v>#REF!</v>
      </c>
      <c r="AG32" s="213" t="e">
        <f aca="false">SUM(F32:AA32)</f>
        <v>#REF!</v>
      </c>
    </row>
    <row r="33" customFormat="false" ht="12.75" hidden="false" customHeight="false" outlineLevel="0" collapsed="false">
      <c r="A33" s="29"/>
      <c r="B33" s="30" t="s">
        <v>423</v>
      </c>
      <c r="C33" s="30"/>
      <c r="D33" s="30"/>
      <c r="E33" s="30"/>
      <c r="F33" s="436" t="n">
        <v>0</v>
      </c>
      <c r="G33" s="215" t="e">
        <f aca="false">F33+G57</f>
        <v>#REF!</v>
      </c>
      <c r="H33" s="215" t="e">
        <f aca="false">G33+H57</f>
        <v>#REF!</v>
      </c>
      <c r="I33" s="215" t="e">
        <f aca="false">H33+I57</f>
        <v>#REF!</v>
      </c>
      <c r="J33" s="215" t="e">
        <f aca="false">I33+J57</f>
        <v>#REF!</v>
      </c>
      <c r="K33" s="215" t="e">
        <f aca="false">J33+K57</f>
        <v>#REF!</v>
      </c>
      <c r="L33" s="215" t="e">
        <f aca="false">K33+L57</f>
        <v>#REF!</v>
      </c>
      <c r="M33" s="215" t="e">
        <f aca="false">L33+M57</f>
        <v>#REF!</v>
      </c>
      <c r="N33" s="215" t="e">
        <f aca="false">M33+N57</f>
        <v>#REF!</v>
      </c>
      <c r="O33" s="215" t="e">
        <f aca="false">N33+O57</f>
        <v>#REF!</v>
      </c>
      <c r="P33" s="215" t="e">
        <f aca="false">O33+P57</f>
        <v>#REF!</v>
      </c>
      <c r="Q33" s="215" t="e">
        <f aca="false">P33+Q57</f>
        <v>#REF!</v>
      </c>
      <c r="R33" s="215" t="e">
        <f aca="false">Q33+R57</f>
        <v>#REF!</v>
      </c>
      <c r="S33" s="215" t="e">
        <f aca="false">R33+S57</f>
        <v>#REF!</v>
      </c>
      <c r="T33" s="215" t="e">
        <f aca="false">S33+T57</f>
        <v>#REF!</v>
      </c>
      <c r="U33" s="215" t="e">
        <f aca="false">T33+U57</f>
        <v>#REF!</v>
      </c>
      <c r="V33" s="215" t="e">
        <f aca="false">U33+V57</f>
        <v>#VALUE!</v>
      </c>
      <c r="W33" s="215" t="e">
        <f aca="false">V33+W57</f>
        <v>#REF!</v>
      </c>
      <c r="X33" s="215" t="e">
        <f aca="false">W33+X57</f>
        <v>#REF!</v>
      </c>
      <c r="Y33" s="215" t="e">
        <f aca="false">X33+Y57</f>
        <v>#REF!</v>
      </c>
      <c r="Z33" s="215" t="e">
        <f aca="false">Y33+Z57</f>
        <v>#REF!</v>
      </c>
      <c r="AA33" s="215" t="e">
        <f aca="false">Z33+AA57</f>
        <v>#REF!</v>
      </c>
      <c r="AB33" s="215" t="e">
        <f aca="false">AA33+AB57</f>
        <v>#REF!</v>
      </c>
      <c r="AC33" s="215" t="e">
        <f aca="false">AB33+AC57</f>
        <v>#REF!</v>
      </c>
      <c r="AD33" s="215" t="e">
        <f aca="false">AC33+AD57</f>
        <v>#REF!</v>
      </c>
      <c r="AE33" s="215" t="e">
        <f aca="false">AD33+AE57</f>
        <v>#REF!</v>
      </c>
      <c r="AF33" s="215" t="e">
        <f aca="false">AE33+AF57</f>
        <v>#REF!</v>
      </c>
      <c r="AG33" s="213" t="e">
        <f aca="false">SUM(F33:AA33)</f>
        <v>#REF!</v>
      </c>
    </row>
    <row r="34" customFormat="false" ht="12.75" hidden="false" customHeight="false" outlineLevel="0" collapsed="false">
      <c r="A34" s="29"/>
      <c r="B34" s="30" t="s">
        <v>424</v>
      </c>
      <c r="C34" s="30"/>
      <c r="D34" s="30"/>
      <c r="E34" s="30"/>
      <c r="F34" s="357" t="n">
        <v>0</v>
      </c>
      <c r="G34" s="212" t="e">
        <f aca="false">SUM(G31:G33)</f>
        <v>#REF!</v>
      </c>
      <c r="H34" s="212" t="e">
        <f aca="false">SUM(H31:H33)</f>
        <v>#REF!</v>
      </c>
      <c r="I34" s="212" t="e">
        <f aca="false">SUM(I31:I33)</f>
        <v>#REF!</v>
      </c>
      <c r="J34" s="212" t="e">
        <f aca="false">SUM(J31:J33)</f>
        <v>#REF!</v>
      </c>
      <c r="K34" s="212" t="e">
        <f aca="false">SUM(K31:K33)</f>
        <v>#REF!</v>
      </c>
      <c r="L34" s="212" t="e">
        <f aca="false">SUM(L31:L33)</f>
        <v>#REF!</v>
      </c>
      <c r="M34" s="212" t="e">
        <f aca="false">SUM(M31:M33)</f>
        <v>#REF!</v>
      </c>
      <c r="N34" s="212" t="e">
        <f aca="false">SUM(N31:N33)</f>
        <v>#REF!</v>
      </c>
      <c r="O34" s="212" t="e">
        <f aca="false">SUM(O31:O33)</f>
        <v>#REF!</v>
      </c>
      <c r="P34" s="212" t="e">
        <f aca="false">SUM(P31:P33)</f>
        <v>#REF!</v>
      </c>
      <c r="Q34" s="212" t="e">
        <f aca="false">SUM(Q31:Q33)</f>
        <v>#REF!</v>
      </c>
      <c r="R34" s="212" t="e">
        <f aca="false">SUM(R31:R33)</f>
        <v>#REF!</v>
      </c>
      <c r="S34" s="212" t="e">
        <f aca="false">SUM(S31:S33)</f>
        <v>#REF!</v>
      </c>
      <c r="T34" s="212" t="e">
        <f aca="false">SUM(T31:T33)</f>
        <v>#REF!</v>
      </c>
      <c r="U34" s="212" t="e">
        <f aca="false">SUM(U31:U33)</f>
        <v>#REF!</v>
      </c>
      <c r="V34" s="212" t="e">
        <f aca="false">SUM(V31:V33)</f>
        <v>#REF!</v>
      </c>
      <c r="W34" s="212" t="e">
        <f aca="false">SUM(W31:W33)</f>
        <v>#REF!</v>
      </c>
      <c r="X34" s="212" t="e">
        <f aca="false">SUM(X31:X33)</f>
        <v>#REF!</v>
      </c>
      <c r="Y34" s="212" t="e">
        <f aca="false">SUM(Y31:Y33)</f>
        <v>#REF!</v>
      </c>
      <c r="Z34" s="212" t="e">
        <f aca="false">SUM(Z31:Z33)</f>
        <v>#REF!</v>
      </c>
      <c r="AA34" s="212" t="e">
        <f aca="false">SUM(AA31:AA33)</f>
        <v>#REF!</v>
      </c>
      <c r="AB34" s="212" t="e">
        <f aca="false">SUM(AB31:AB33)</f>
        <v>#REF!</v>
      </c>
      <c r="AC34" s="212" t="e">
        <f aca="false">SUM(AC31:AC33)</f>
        <v>#REF!</v>
      </c>
      <c r="AD34" s="212" t="e">
        <f aca="false">SUM(AD31:AD33)</f>
        <v>#REF!</v>
      </c>
      <c r="AE34" s="212" t="e">
        <f aca="false">SUM(AE31:AE33)</f>
        <v>#REF!</v>
      </c>
      <c r="AF34" s="212" t="e">
        <f aca="false">SUM(AF31:AF33)</f>
        <v>#REF!</v>
      </c>
      <c r="AG34" s="213" t="e">
        <f aca="false">SUM(F34:AA34)</f>
        <v>#REF!</v>
      </c>
    </row>
    <row r="35" customFormat="false" ht="12.75" hidden="false" customHeight="false" outlineLevel="0" collapsed="false">
      <c r="A35" s="29"/>
      <c r="B35" s="30"/>
      <c r="C35" s="30"/>
      <c r="D35" s="30"/>
      <c r="E35" s="30"/>
      <c r="F35" s="357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3" t="s">
        <v>1</v>
      </c>
    </row>
    <row r="36" customFormat="false" ht="12.75" hidden="false" customHeight="false" outlineLevel="0" collapsed="false">
      <c r="A36" s="29" t="s">
        <v>425</v>
      </c>
      <c r="B36" s="30"/>
      <c r="C36" s="30"/>
      <c r="D36" s="30"/>
      <c r="E36" s="30"/>
      <c r="F36" s="437" t="n">
        <v>0</v>
      </c>
      <c r="G36" s="279" t="e">
        <f aca="false">G34+G28</f>
        <v>#REF!</v>
      </c>
      <c r="H36" s="279" t="e">
        <f aca="false">H34+H28</f>
        <v>#REF!</v>
      </c>
      <c r="I36" s="279" t="e">
        <f aca="false">I34+I28</f>
        <v>#REF!</v>
      </c>
      <c r="J36" s="279" t="e">
        <f aca="false">J34+J28</f>
        <v>#REF!</v>
      </c>
      <c r="K36" s="279" t="e">
        <f aca="false">K34+K28</f>
        <v>#REF!</v>
      </c>
      <c r="L36" s="279" t="e">
        <f aca="false">L34+L28</f>
        <v>#REF!</v>
      </c>
      <c r="M36" s="279" t="e">
        <f aca="false">M34+M28</f>
        <v>#REF!</v>
      </c>
      <c r="N36" s="279" t="e">
        <f aca="false">N34+N28</f>
        <v>#REF!</v>
      </c>
      <c r="O36" s="279" t="e">
        <f aca="false">O34+O28</f>
        <v>#REF!</v>
      </c>
      <c r="P36" s="279" t="e">
        <f aca="false">P34+P28</f>
        <v>#REF!</v>
      </c>
      <c r="Q36" s="279" t="e">
        <f aca="false">Q34+Q28</f>
        <v>#REF!</v>
      </c>
      <c r="R36" s="279" t="e">
        <f aca="false">R34+R28</f>
        <v>#REF!</v>
      </c>
      <c r="S36" s="279" t="e">
        <f aca="false">S34+S28</f>
        <v>#REF!</v>
      </c>
      <c r="T36" s="279" t="e">
        <f aca="false">T34+T28</f>
        <v>#REF!</v>
      </c>
      <c r="U36" s="279" t="e">
        <f aca="false">U34+U28</f>
        <v>#REF!</v>
      </c>
      <c r="V36" s="279" t="e">
        <f aca="false">V34+V28</f>
        <v>#VALUE!</v>
      </c>
      <c r="W36" s="279" t="e">
        <f aca="false">W34+W28</f>
        <v>#REF!</v>
      </c>
      <c r="X36" s="279" t="e">
        <f aca="false">X34+X28</f>
        <v>#REF!</v>
      </c>
      <c r="Y36" s="279" t="e">
        <f aca="false">Y34+Y28</f>
        <v>#REF!</v>
      </c>
      <c r="Z36" s="279" t="e">
        <f aca="false">Z34+Z28</f>
        <v>#REF!</v>
      </c>
      <c r="AA36" s="279" t="e">
        <f aca="false">AA34+AA28</f>
        <v>#REF!</v>
      </c>
      <c r="AB36" s="279" t="e">
        <f aca="false">AB34+AB28</f>
        <v>#REF!</v>
      </c>
      <c r="AC36" s="279" t="e">
        <f aca="false">AC34+AC28</f>
        <v>#REF!</v>
      </c>
      <c r="AD36" s="279" t="e">
        <f aca="false">AD34+AD28</f>
        <v>#REF!</v>
      </c>
      <c r="AE36" s="279" t="e">
        <f aca="false">AE34+AE28</f>
        <v>#REF!</v>
      </c>
      <c r="AF36" s="279" t="e">
        <f aca="false">AF34+AF28</f>
        <v>#REF!</v>
      </c>
      <c r="AG36" s="213" t="e">
        <f aca="false">SUM(F36:AA36)</f>
        <v>#REF!</v>
      </c>
    </row>
    <row r="37" customFormat="false" ht="12.75" hidden="false" customHeight="false" outlineLevel="0" collapsed="false">
      <c r="A37" s="29"/>
      <c r="B37" s="30"/>
      <c r="C37" s="30"/>
      <c r="D37" s="30"/>
      <c r="E37" s="30"/>
      <c r="F37" s="357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3" t="s">
        <v>1</v>
      </c>
    </row>
    <row r="38" customFormat="false" ht="12.75" hidden="false" customHeight="false" outlineLevel="0" collapsed="false">
      <c r="A38" s="171" t="s">
        <v>426</v>
      </c>
      <c r="B38" s="124"/>
      <c r="C38" s="124"/>
      <c r="D38" s="124"/>
      <c r="E38" s="124"/>
      <c r="F38" s="439" t="n">
        <v>0</v>
      </c>
      <c r="G38" s="440" t="e">
        <f aca="false">G19-G36</f>
        <v>#REF!</v>
      </c>
      <c r="H38" s="440" t="e">
        <f aca="false">H19-H36</f>
        <v>#REF!</v>
      </c>
      <c r="I38" s="440" t="e">
        <f aca="false">I19-I36</f>
        <v>#REF!</v>
      </c>
      <c r="J38" s="440" t="e">
        <f aca="false">J19-J36</f>
        <v>#REF!</v>
      </c>
      <c r="K38" s="440" t="e">
        <f aca="false">K19-K36</f>
        <v>#REF!</v>
      </c>
      <c r="L38" s="440" t="e">
        <f aca="false">L19-L36</f>
        <v>#REF!</v>
      </c>
      <c r="M38" s="440" t="e">
        <f aca="false">M19-M36</f>
        <v>#REF!</v>
      </c>
      <c r="N38" s="440" t="e">
        <f aca="false">N19-N36</f>
        <v>#REF!</v>
      </c>
      <c r="O38" s="440" t="e">
        <f aca="false">O19-O36</f>
        <v>#REF!</v>
      </c>
      <c r="P38" s="440" t="e">
        <f aca="false">P19-P36</f>
        <v>#REF!</v>
      </c>
      <c r="Q38" s="440" t="e">
        <f aca="false">Q19-Q36</f>
        <v>#REF!</v>
      </c>
      <c r="R38" s="440" t="e">
        <f aca="false">R19-R36</f>
        <v>#REF!</v>
      </c>
      <c r="S38" s="440" t="e">
        <f aca="false">S19-S36</f>
        <v>#REF!</v>
      </c>
      <c r="T38" s="440" t="e">
        <f aca="false">T19-T36</f>
        <v>#REF!</v>
      </c>
      <c r="U38" s="440" t="e">
        <f aca="false">U19-U36</f>
        <v>#REF!</v>
      </c>
      <c r="V38" s="440" t="e">
        <f aca="false">V19-V36</f>
        <v>#VALUE!</v>
      </c>
      <c r="W38" s="440" t="e">
        <f aca="false">W19-W36</f>
        <v>#REF!</v>
      </c>
      <c r="X38" s="440" t="e">
        <f aca="false">X19-X36</f>
        <v>#REF!</v>
      </c>
      <c r="Y38" s="440" t="e">
        <f aca="false">Y19-Y36</f>
        <v>#REF!</v>
      </c>
      <c r="Z38" s="440" t="e">
        <f aca="false">Z19-Z36</f>
        <v>#REF!</v>
      </c>
      <c r="AA38" s="440" t="e">
        <f aca="false">AA19-AA36</f>
        <v>#REF!</v>
      </c>
      <c r="AB38" s="440" t="e">
        <f aca="false">AB19-AB36</f>
        <v>#REF!</v>
      </c>
      <c r="AC38" s="440" t="e">
        <f aca="false">AC19-AC36</f>
        <v>#REF!</v>
      </c>
      <c r="AD38" s="440" t="e">
        <f aca="false">AD19-AD36</f>
        <v>#REF!</v>
      </c>
      <c r="AE38" s="440" t="e">
        <f aca="false">AE19-AE36</f>
        <v>#REF!</v>
      </c>
      <c r="AF38" s="440" t="e">
        <f aca="false">AF19-AF36</f>
        <v>#REF!</v>
      </c>
      <c r="AG38" s="441" t="e">
        <f aca="false">SUM(F38:AA38)</f>
        <v>#REF!</v>
      </c>
    </row>
    <row r="41" customFormat="false" ht="15.75" hidden="false" customHeight="false" outlineLevel="0" collapsed="false">
      <c r="A41" s="442" t="s">
        <v>427</v>
      </c>
      <c r="B41" s="258"/>
      <c r="C41" s="443"/>
    </row>
    <row r="42" customFormat="false" ht="12.75" hidden="false" customHeight="false" outlineLevel="0" collapsed="false">
      <c r="G42" s="6" t="n">
        <f aca="false">G5</f>
        <v>1</v>
      </c>
      <c r="H42" s="6" t="n">
        <f aca="false">H5</f>
        <v>2</v>
      </c>
      <c r="I42" s="6" t="n">
        <f aca="false">I5</f>
        <v>3</v>
      </c>
      <c r="J42" s="6" t="n">
        <f aca="false">J5</f>
        <v>4</v>
      </c>
      <c r="K42" s="6" t="n">
        <f aca="false">K5</f>
        <v>5</v>
      </c>
      <c r="L42" s="6" t="n">
        <f aca="false">L5</f>
        <v>6</v>
      </c>
      <c r="M42" s="6" t="n">
        <f aca="false">M5</f>
        <v>7</v>
      </c>
      <c r="N42" s="6" t="n">
        <f aca="false">N5</f>
        <v>8</v>
      </c>
      <c r="O42" s="6" t="n">
        <f aca="false">O5</f>
        <v>9</v>
      </c>
      <c r="P42" s="6" t="n">
        <f aca="false">P5</f>
        <v>10</v>
      </c>
      <c r="Q42" s="6" t="n">
        <f aca="false">Q5</f>
        <v>11</v>
      </c>
      <c r="R42" s="6" t="n">
        <f aca="false">R5</f>
        <v>12</v>
      </c>
      <c r="S42" s="6" t="n">
        <f aca="false">S5</f>
        <v>13</v>
      </c>
      <c r="T42" s="6" t="n">
        <f aca="false">T5</f>
        <v>14</v>
      </c>
      <c r="U42" s="6" t="n">
        <f aca="false">U5</f>
        <v>15</v>
      </c>
      <c r="V42" s="6" t="n">
        <f aca="false">V5</f>
        <v>16</v>
      </c>
      <c r="W42" s="6" t="n">
        <f aca="false">W5</f>
        <v>17</v>
      </c>
      <c r="X42" s="6" t="n">
        <f aca="false">X5</f>
        <v>18</v>
      </c>
      <c r="Y42" s="6" t="n">
        <f aca="false">Y5</f>
        <v>19</v>
      </c>
      <c r="Z42" s="6" t="n">
        <f aca="false">Z5</f>
        <v>20</v>
      </c>
      <c r="AA42" s="6" t="n">
        <f aca="false">AA5</f>
        <v>21</v>
      </c>
      <c r="AB42" s="6" t="n">
        <f aca="false">AB5</f>
        <v>22</v>
      </c>
      <c r="AC42" s="6" t="n">
        <f aca="false">AC5</f>
        <v>23</v>
      </c>
      <c r="AD42" s="6" t="n">
        <f aca="false">AD5</f>
        <v>24</v>
      </c>
      <c r="AE42" s="6" t="n">
        <f aca="false">AE5</f>
        <v>25</v>
      </c>
      <c r="AF42" s="6" t="n">
        <f aca="false">AF5</f>
        <v>26</v>
      </c>
      <c r="AG42" s="194"/>
    </row>
    <row r="43" customFormat="false" ht="12.75" hidden="false" customHeight="false" outlineLevel="0" collapsed="false">
      <c r="G43" s="6" t="n">
        <f aca="false">G6</f>
        <v>2001</v>
      </c>
      <c r="H43" s="6" t="n">
        <f aca="false">H6</f>
        <v>2002</v>
      </c>
      <c r="I43" s="6" t="n">
        <f aca="false">I6</f>
        <v>2003</v>
      </c>
      <c r="J43" s="6" t="n">
        <f aca="false">J6</f>
        <v>2004</v>
      </c>
      <c r="K43" s="6" t="n">
        <f aca="false">K6</f>
        <v>2005</v>
      </c>
      <c r="L43" s="6" t="n">
        <f aca="false">L6</f>
        <v>2006</v>
      </c>
      <c r="M43" s="6" t="n">
        <f aca="false">M6</f>
        <v>2007</v>
      </c>
      <c r="N43" s="6" t="n">
        <f aca="false">N6</f>
        <v>2008</v>
      </c>
      <c r="O43" s="6" t="n">
        <f aca="false">O6</f>
        <v>2009</v>
      </c>
      <c r="P43" s="6" t="n">
        <f aca="false">P6</f>
        <v>2010</v>
      </c>
      <c r="Q43" s="6" t="n">
        <f aca="false">Q6</f>
        <v>2011</v>
      </c>
      <c r="R43" s="6" t="n">
        <f aca="false">R6</f>
        <v>2012</v>
      </c>
      <c r="S43" s="6" t="n">
        <f aca="false">S6</f>
        <v>2013</v>
      </c>
      <c r="T43" s="6" t="n">
        <f aca="false">T6</f>
        <v>2014</v>
      </c>
      <c r="U43" s="6" t="n">
        <f aca="false">U6</f>
        <v>2015</v>
      </c>
      <c r="V43" s="6" t="n">
        <f aca="false">V6</f>
        <v>2016</v>
      </c>
      <c r="W43" s="6" t="n">
        <f aca="false">W6</f>
        <v>2017</v>
      </c>
      <c r="X43" s="6" t="n">
        <f aca="false">X6</f>
        <v>2018</v>
      </c>
      <c r="Y43" s="6" t="n">
        <f aca="false">Y6</f>
        <v>2019</v>
      </c>
      <c r="Z43" s="6" t="n">
        <f aca="false">Z6</f>
        <v>2020</v>
      </c>
      <c r="AA43" s="6" t="n">
        <f aca="false">AA6</f>
        <v>2021</v>
      </c>
      <c r="AB43" s="6" t="n">
        <f aca="false">AB6</f>
        <v>2022</v>
      </c>
      <c r="AC43" s="6" t="n">
        <f aca="false">AC6</f>
        <v>2023</v>
      </c>
      <c r="AD43" s="6" t="n">
        <f aca="false">AD6</f>
        <v>2024</v>
      </c>
      <c r="AE43" s="6" t="n">
        <f aca="false">AE6</f>
        <v>2025</v>
      </c>
      <c r="AF43" s="6" t="n">
        <f aca="false">AF6</f>
        <v>2026</v>
      </c>
      <c r="AG43" s="444" t="s">
        <v>205</v>
      </c>
    </row>
    <row r="44" customFormat="false" ht="12.75" hidden="false" customHeight="false" outlineLevel="0" collapsed="false">
      <c r="A44" s="18" t="s">
        <v>428</v>
      </c>
      <c r="B44" s="15"/>
      <c r="C44" s="15"/>
      <c r="D44" s="15"/>
      <c r="E44" s="15"/>
      <c r="F44" s="445" t="s">
        <v>429</v>
      </c>
      <c r="G44" s="445" t="n">
        <f aca="false">CF!D25</f>
        <v>80819.865</v>
      </c>
      <c r="H44" s="445" t="n">
        <f aca="false">CF!E25</f>
        <v>137895.636</v>
      </c>
      <c r="I44" s="445" t="n">
        <f aca="false">CF!F25</f>
        <v>138075.39312</v>
      </c>
      <c r="J44" s="445" t="n">
        <f aca="false">CF!G25</f>
        <v>138588.2965824</v>
      </c>
      <c r="K44" s="445" t="n">
        <f aca="false">CF!H25</f>
        <v>139517.571714048</v>
      </c>
      <c r="L44" s="445" t="n">
        <f aca="false">CF!I25</f>
        <v>140322.293948329</v>
      </c>
      <c r="M44" s="445" t="n">
        <f aca="false">CF!J25</f>
        <v>142209.158827296</v>
      </c>
      <c r="N44" s="445" t="n">
        <f aca="false">CF!K25</f>
        <v>143555.382003841</v>
      </c>
      <c r="O44" s="445" t="n">
        <f aca="false">CF!L25</f>
        <v>145193.169243918</v>
      </c>
      <c r="P44" s="445" t="n">
        <f aca="false">CF!M25</f>
        <v>147039.306428797</v>
      </c>
      <c r="Q44" s="445" t="n">
        <f aca="false">CF!N25</f>
        <v>148844.139557373</v>
      </c>
      <c r="R44" s="445" t="n">
        <f aca="false">CF!O25</f>
        <v>150441.23474852</v>
      </c>
      <c r="S44" s="445" t="n">
        <f aca="false">CF!P25</f>
        <v>152746.01824349</v>
      </c>
      <c r="T44" s="445" t="n">
        <f aca="false">CF!Q25</f>
        <v>153844.43640836</v>
      </c>
      <c r="U44" s="445" t="n">
        <f aca="false">CF!R25</f>
        <v>155608.945736527</v>
      </c>
      <c r="V44" s="445" t="e">
        <f aca="false">CF!S25</f>
        <v>#VALUE!</v>
      </c>
      <c r="W44" s="445" t="n">
        <f aca="false">CF!T25</f>
        <v>896.154508283152</v>
      </c>
      <c r="X44" s="445" t="n">
        <f aca="false">CF!U25</f>
        <v>914.077598448815</v>
      </c>
      <c r="Y44" s="445" t="n">
        <f aca="false">CF!V25</f>
        <v>932.359150417791</v>
      </c>
      <c r="Z44" s="445" t="n">
        <f aca="false">CF!W25</f>
        <v>951.006333426147</v>
      </c>
      <c r="AA44" s="445" t="n">
        <f aca="false">CF!X25</f>
        <v>970.02646009467</v>
      </c>
      <c r="AB44" s="445" t="n">
        <f aca="false">CF!Y25</f>
        <v>989.426989296563</v>
      </c>
      <c r="AC44" s="445" t="n">
        <f aca="false">CF!Z25</f>
        <v>1009.21552908249</v>
      </c>
      <c r="AD44" s="445" t="n">
        <f aca="false">CF!AA25</f>
        <v>1029.39983966414</v>
      </c>
      <c r="AE44" s="445" t="n">
        <f aca="false">CF!AB25</f>
        <v>1049.98783645743</v>
      </c>
      <c r="AF44" s="445" t="n">
        <f aca="false">CF!AC25</f>
        <v>0</v>
      </c>
      <c r="AG44" s="446" t="e">
        <f aca="false">SUM(G44:AF44)</f>
        <v>#VALUE!</v>
      </c>
    </row>
    <row r="45" customFormat="false" ht="12.75" hidden="false" customHeight="false" outlineLevel="0" collapsed="false">
      <c r="A45" s="29"/>
      <c r="B45" s="30"/>
      <c r="C45" s="30"/>
      <c r="D45" s="30"/>
      <c r="E45" s="30"/>
      <c r="F45" s="30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3" t="s">
        <v>1</v>
      </c>
    </row>
    <row r="46" customFormat="false" ht="12.75" hidden="false" customHeight="false" outlineLevel="0" collapsed="false">
      <c r="A46" s="29" t="s">
        <v>430</v>
      </c>
      <c r="B46" s="30"/>
      <c r="C46" s="30"/>
      <c r="D46" s="30"/>
      <c r="E46" s="30"/>
      <c r="F46" s="30"/>
      <c r="G46" s="212" t="n">
        <f aca="false">CF!D60</f>
        <v>0</v>
      </c>
      <c r="H46" s="212" t="n">
        <f aca="false">CF!E60</f>
        <v>0</v>
      </c>
      <c r="I46" s="212" t="n">
        <f aca="false">CF!F60</f>
        <v>0</v>
      </c>
      <c r="J46" s="212" t="n">
        <f aca="false">CF!G60</f>
        <v>0</v>
      </c>
      <c r="K46" s="212" t="n">
        <f aca="false">CF!H60</f>
        <v>0</v>
      </c>
      <c r="L46" s="212" t="n">
        <f aca="false">CF!I60</f>
        <v>0</v>
      </c>
      <c r="M46" s="212" t="n">
        <f aca="false">CF!J60</f>
        <v>0</v>
      </c>
      <c r="N46" s="212" t="n">
        <f aca="false">CF!K60</f>
        <v>0</v>
      </c>
      <c r="O46" s="212" t="n">
        <f aca="false">CF!L60</f>
        <v>0</v>
      </c>
      <c r="P46" s="212" t="n">
        <f aca="false">CF!M60</f>
        <v>0</v>
      </c>
      <c r="Q46" s="212" t="n">
        <f aca="false">CF!N60</f>
        <v>0</v>
      </c>
      <c r="R46" s="212" t="n">
        <f aca="false">CF!O60</f>
        <v>0</v>
      </c>
      <c r="S46" s="212" t="n">
        <f aca="false">CF!P60</f>
        <v>0</v>
      </c>
      <c r="T46" s="212" t="n">
        <f aca="false">CF!Q60</f>
        <v>0</v>
      </c>
      <c r="U46" s="212" t="n">
        <f aca="false">CF!R60</f>
        <v>0</v>
      </c>
      <c r="V46" s="212" t="n">
        <f aca="false">CF!S60</f>
        <v>0</v>
      </c>
      <c r="W46" s="212" t="n">
        <f aca="false">CF!T60</f>
        <v>0</v>
      </c>
      <c r="X46" s="212" t="n">
        <f aca="false">CF!U60</f>
        <v>0</v>
      </c>
      <c r="Y46" s="212" t="n">
        <f aca="false">CF!V60</f>
        <v>0</v>
      </c>
      <c r="Z46" s="212" t="n">
        <f aca="false">CF!W60</f>
        <v>0</v>
      </c>
      <c r="AA46" s="212" t="n">
        <f aca="false">CF!X60</f>
        <v>0</v>
      </c>
      <c r="AB46" s="212" t="n">
        <f aca="false">CF!Y60</f>
        <v>0</v>
      </c>
      <c r="AC46" s="212" t="n">
        <f aca="false">CF!Z60</f>
        <v>0</v>
      </c>
      <c r="AD46" s="212" t="n">
        <f aca="false">CF!AA60</f>
        <v>0</v>
      </c>
      <c r="AE46" s="212" t="n">
        <f aca="false">CF!AB60</f>
        <v>0</v>
      </c>
      <c r="AF46" s="212" t="n">
        <f aca="false">CF!AC60</f>
        <v>0</v>
      </c>
      <c r="AG46" s="213" t="n">
        <f aca="false">SUM(G46:AF46)</f>
        <v>0</v>
      </c>
    </row>
    <row r="47" customFormat="false" ht="12.75" hidden="false" customHeight="false" outlineLevel="0" collapsed="false">
      <c r="A47" s="29" t="s">
        <v>431</v>
      </c>
      <c r="B47" s="30"/>
      <c r="C47" s="30"/>
      <c r="D47" s="30"/>
      <c r="E47" s="30"/>
      <c r="F47" s="30"/>
      <c r="G47" s="212" t="n">
        <f aca="false">CF!D44</f>
        <v>0</v>
      </c>
      <c r="H47" s="212" t="n">
        <f aca="false">CF!E44</f>
        <v>0</v>
      </c>
      <c r="I47" s="212" t="n">
        <f aca="false">CF!F44</f>
        <v>0</v>
      </c>
      <c r="J47" s="212" t="n">
        <f aca="false">CF!G44</f>
        <v>0</v>
      </c>
      <c r="K47" s="212" t="n">
        <f aca="false">CF!H44</f>
        <v>0</v>
      </c>
      <c r="L47" s="212" t="n">
        <f aca="false">CF!I44</f>
        <v>0</v>
      </c>
      <c r="M47" s="212" t="n">
        <f aca="false">CF!J44</f>
        <v>0</v>
      </c>
      <c r="N47" s="212" t="n">
        <f aca="false">CF!K44</f>
        <v>0</v>
      </c>
      <c r="O47" s="212" t="n">
        <f aca="false">CF!L44</f>
        <v>0</v>
      </c>
      <c r="P47" s="212" t="n">
        <f aca="false">CF!M44</f>
        <v>0</v>
      </c>
      <c r="Q47" s="212" t="n">
        <f aca="false">CF!N44</f>
        <v>0</v>
      </c>
      <c r="R47" s="212" t="n">
        <f aca="false">CF!O44</f>
        <v>0</v>
      </c>
      <c r="S47" s="212" t="n">
        <f aca="false">CF!P44</f>
        <v>0</v>
      </c>
      <c r="T47" s="212" t="n">
        <f aca="false">CF!Q44</f>
        <v>0</v>
      </c>
      <c r="U47" s="212" t="n">
        <f aca="false">CF!R44</f>
        <v>0</v>
      </c>
      <c r="V47" s="212" t="n">
        <f aca="false">CF!S44</f>
        <v>0</v>
      </c>
      <c r="W47" s="212" t="n">
        <f aca="false">CF!T44</f>
        <v>0</v>
      </c>
      <c r="X47" s="212" t="n">
        <f aca="false">CF!U44</f>
        <v>0</v>
      </c>
      <c r="Y47" s="212" t="n">
        <f aca="false">CF!V44</f>
        <v>0</v>
      </c>
      <c r="Z47" s="212" t="n">
        <f aca="false">CF!W44</f>
        <v>0</v>
      </c>
      <c r="AA47" s="212" t="n">
        <f aca="false">CF!X44</f>
        <v>0</v>
      </c>
      <c r="AB47" s="212" t="n">
        <f aca="false">CF!Y44</f>
        <v>0</v>
      </c>
      <c r="AC47" s="212" t="n">
        <f aca="false">CF!Z44</f>
        <v>0</v>
      </c>
      <c r="AD47" s="212" t="n">
        <f aca="false">CF!AA44</f>
        <v>0</v>
      </c>
      <c r="AE47" s="212" t="n">
        <f aca="false">CF!AB44</f>
        <v>0</v>
      </c>
      <c r="AF47" s="212" t="n">
        <f aca="false">CF!AC44</f>
        <v>0</v>
      </c>
      <c r="AG47" s="213" t="n">
        <f aca="false">SUM(G47:AF47)</f>
        <v>0</v>
      </c>
    </row>
    <row r="48" customFormat="false" ht="12.75" hidden="false" customHeight="false" outlineLevel="0" collapsed="false">
      <c r="A48" s="29" t="s">
        <v>111</v>
      </c>
      <c r="B48" s="30"/>
      <c r="C48" s="30"/>
      <c r="D48" s="30"/>
      <c r="E48" s="30"/>
      <c r="F48" s="30"/>
      <c r="G48" s="212" t="n">
        <f aca="false">CF!D68</f>
        <v>80819.865</v>
      </c>
      <c r="H48" s="212" t="n">
        <f aca="false">CF!E68</f>
        <v>137895.636</v>
      </c>
      <c r="I48" s="212" t="n">
        <f aca="false">CF!F68</f>
        <v>138075.39312</v>
      </c>
      <c r="J48" s="212" t="n">
        <f aca="false">CF!G68</f>
        <v>138588.2965824</v>
      </c>
      <c r="K48" s="212" t="n">
        <f aca="false">CF!H68</f>
        <v>139517.571714048</v>
      </c>
      <c r="L48" s="212" t="n">
        <f aca="false">CF!I68</f>
        <v>140322.293948329</v>
      </c>
      <c r="M48" s="212" t="n">
        <f aca="false">CF!J68</f>
        <v>142209.158827296</v>
      </c>
      <c r="N48" s="212" t="n">
        <f aca="false">CF!K68</f>
        <v>143555.382003841</v>
      </c>
      <c r="O48" s="212" t="n">
        <f aca="false">CF!L68</f>
        <v>145193.169243918</v>
      </c>
      <c r="P48" s="212" t="n">
        <f aca="false">CF!M68</f>
        <v>147039.306428797</v>
      </c>
      <c r="Q48" s="212" t="n">
        <f aca="false">CF!N68</f>
        <v>148844.139557373</v>
      </c>
      <c r="R48" s="212" t="n">
        <f aca="false">CF!O68</f>
        <v>150441.23474852</v>
      </c>
      <c r="S48" s="212" t="n">
        <f aca="false">CF!P68</f>
        <v>152746.01824349</v>
      </c>
      <c r="T48" s="212" t="n">
        <f aca="false">CF!Q68</f>
        <v>153844.43640836</v>
      </c>
      <c r="U48" s="212" t="n">
        <f aca="false">CF!R68</f>
        <v>155608.945736527</v>
      </c>
      <c r="V48" s="212" t="e">
        <f aca="false">CF!S68</f>
        <v>#VALUE!</v>
      </c>
      <c r="W48" s="212" t="n">
        <f aca="false">CF!T68</f>
        <v>896.154508283152</v>
      </c>
      <c r="X48" s="212" t="n">
        <f aca="false">CF!U68</f>
        <v>914.077598448815</v>
      </c>
      <c r="Y48" s="212" t="n">
        <f aca="false">CF!V68</f>
        <v>932.359150417791</v>
      </c>
      <c r="Z48" s="212" t="n">
        <f aca="false">CF!W68</f>
        <v>951.006333426147</v>
      </c>
      <c r="AA48" s="212" t="n">
        <f aca="false">CF!X68</f>
        <v>970.02646009467</v>
      </c>
      <c r="AB48" s="212" t="n">
        <f aca="false">CF!Y68</f>
        <v>989.426989296563</v>
      </c>
      <c r="AC48" s="212" t="n">
        <f aca="false">CF!Z68</f>
        <v>1009.21552908249</v>
      </c>
      <c r="AD48" s="212" t="n">
        <f aca="false">CF!AA68</f>
        <v>1029.39983966414</v>
      </c>
      <c r="AE48" s="212" t="n">
        <f aca="false">CF!AB68</f>
        <v>1049.98783645743</v>
      </c>
      <c r="AF48" s="212" t="n">
        <f aca="false">CF!AC68</f>
        <v>0</v>
      </c>
      <c r="AG48" s="213" t="e">
        <f aca="false">SUM(G48:AF48)</f>
        <v>#VALUE!</v>
      </c>
    </row>
    <row r="49" customFormat="false" ht="12.75" hidden="false" customHeight="false" outlineLevel="0" collapsed="false">
      <c r="A49" s="29" t="s">
        <v>432</v>
      </c>
      <c r="B49" s="30"/>
      <c r="C49" s="30"/>
      <c r="D49" s="30"/>
      <c r="E49" s="30"/>
      <c r="F49" s="30"/>
      <c r="G49" s="212" t="n">
        <f aca="false">DEPR!F34</f>
        <v>0</v>
      </c>
      <c r="H49" s="212" t="n">
        <f aca="false">DEPR!G34</f>
        <v>0</v>
      </c>
      <c r="I49" s="212" t="n">
        <f aca="false">DEPR!H34</f>
        <v>0</v>
      </c>
      <c r="J49" s="212" t="n">
        <f aca="false">DEPR!I34</f>
        <v>0</v>
      </c>
      <c r="K49" s="212" t="n">
        <f aca="false">DEPR!J34</f>
        <v>0</v>
      </c>
      <c r="L49" s="212" t="n">
        <f aca="false">DEPR!K34</f>
        <v>0</v>
      </c>
      <c r="M49" s="212" t="n">
        <f aca="false">DEPR!L34</f>
        <v>0</v>
      </c>
      <c r="N49" s="212" t="n">
        <f aca="false">DEPR!M34</f>
        <v>0</v>
      </c>
      <c r="O49" s="212" t="n">
        <f aca="false">DEPR!N34</f>
        <v>0</v>
      </c>
      <c r="P49" s="212" t="n">
        <f aca="false">DEPR!O34</f>
        <v>0</v>
      </c>
      <c r="Q49" s="212" t="n">
        <f aca="false">DEPR!P34</f>
        <v>0</v>
      </c>
      <c r="R49" s="212" t="n">
        <f aca="false">DEPR!Q34</f>
        <v>0</v>
      </c>
      <c r="S49" s="212" t="n">
        <f aca="false">DEPR!R34</f>
        <v>0</v>
      </c>
      <c r="T49" s="212" t="n">
        <f aca="false">DEPR!S34</f>
        <v>0</v>
      </c>
      <c r="U49" s="212" t="n">
        <f aca="false">DEPR!T34</f>
        <v>0</v>
      </c>
      <c r="V49" s="212" t="n">
        <f aca="false">DEPR!U34</f>
        <v>0</v>
      </c>
      <c r="W49" s="212" t="n">
        <f aca="false">DEPR!V34</f>
        <v>0</v>
      </c>
      <c r="X49" s="212" t="n">
        <f aca="false">DEPR!W34</f>
        <v>0</v>
      </c>
      <c r="Y49" s="212" t="n">
        <f aca="false">DEPR!X34</f>
        <v>0</v>
      </c>
      <c r="Z49" s="212" t="n">
        <f aca="false">DEPR!Y34</f>
        <v>0</v>
      </c>
      <c r="AA49" s="212" t="n">
        <f aca="false">DEPR!Z34</f>
        <v>0</v>
      </c>
      <c r="AB49" s="212" t="n">
        <f aca="false">DEPR!AA34</f>
        <v>0</v>
      </c>
      <c r="AC49" s="212" t="n">
        <f aca="false">DEPR!AB34</f>
        <v>0</v>
      </c>
      <c r="AD49" s="212" t="n">
        <f aca="false">DEPR!AC34</f>
        <v>0</v>
      </c>
      <c r="AE49" s="212" t="n">
        <f aca="false">DEPR!AD34</f>
        <v>0</v>
      </c>
      <c r="AF49" s="212" t="n">
        <f aca="false">DEPR!AE34</f>
        <v>0</v>
      </c>
      <c r="AG49" s="213" t="n">
        <f aca="false">SUM(G49:AF49)</f>
        <v>0</v>
      </c>
    </row>
    <row r="50" customFormat="false" ht="12.75" hidden="false" customHeight="false" outlineLevel="0" collapsed="false">
      <c r="A50" s="29" t="s">
        <v>433</v>
      </c>
      <c r="B50" s="30"/>
      <c r="C50" s="30"/>
      <c r="D50" s="30"/>
      <c r="E50" s="30"/>
      <c r="F50" s="30"/>
      <c r="G50" s="215" t="e">
        <f aca="false">FIN!D10</f>
        <v>#REF!</v>
      </c>
      <c r="H50" s="215" t="e">
        <f aca="false">FIN!E10</f>
        <v>#REF!</v>
      </c>
      <c r="I50" s="215" t="e">
        <f aca="false">FIN!F10</f>
        <v>#REF!</v>
      </c>
      <c r="J50" s="215" t="e">
        <f aca="false">FIN!G10</f>
        <v>#REF!</v>
      </c>
      <c r="K50" s="215" t="e">
        <f aca="false">FIN!H10</f>
        <v>#REF!</v>
      </c>
      <c r="L50" s="215" t="e">
        <f aca="false">FIN!I10</f>
        <v>#REF!</v>
      </c>
      <c r="M50" s="215" t="e">
        <f aca="false">FIN!J10</f>
        <v>#REF!</v>
      </c>
      <c r="N50" s="215" t="e">
        <f aca="false">FIN!K10</f>
        <v>#REF!</v>
      </c>
      <c r="O50" s="215" t="e">
        <f aca="false">FIN!L10</f>
        <v>#REF!</v>
      </c>
      <c r="P50" s="215" t="e">
        <f aca="false">FIN!M10</f>
        <v>#REF!</v>
      </c>
      <c r="Q50" s="215" t="e">
        <f aca="false">FIN!N10</f>
        <v>#REF!</v>
      </c>
      <c r="R50" s="215" t="e">
        <f aca="false">FIN!O10</f>
        <v>#REF!</v>
      </c>
      <c r="S50" s="215" t="e">
        <f aca="false">FIN!P10</f>
        <v>#REF!</v>
      </c>
      <c r="T50" s="215" t="e">
        <f aca="false">FIN!Q10</f>
        <v>#REF!</v>
      </c>
      <c r="U50" s="215" t="e">
        <f aca="false">FIN!R10</f>
        <v>#REF!</v>
      </c>
      <c r="V50" s="215" t="e">
        <f aca="false">FIN!S10</f>
        <v>#REF!</v>
      </c>
      <c r="W50" s="215" t="e">
        <f aca="false">FIN!T10</f>
        <v>#REF!</v>
      </c>
      <c r="X50" s="215" t="e">
        <f aca="false">FIN!U10</f>
        <v>#REF!</v>
      </c>
      <c r="Y50" s="215" t="e">
        <f aca="false">FIN!V10</f>
        <v>#REF!</v>
      </c>
      <c r="Z50" s="215" t="e">
        <f aca="false">FIN!W10</f>
        <v>#REF!</v>
      </c>
      <c r="AA50" s="215" t="e">
        <f aca="false">FIN!X10</f>
        <v>#REF!</v>
      </c>
      <c r="AB50" s="215" t="e">
        <f aca="false">FIN!Y10</f>
        <v>#REF!</v>
      </c>
      <c r="AC50" s="215" t="e">
        <f aca="false">FIN!Z10</f>
        <v>#REF!</v>
      </c>
      <c r="AD50" s="215" t="e">
        <f aca="false">FIN!AA10</f>
        <v>#REF!</v>
      </c>
      <c r="AE50" s="215" t="e">
        <f aca="false">FIN!AB10</f>
        <v>#REF!</v>
      </c>
      <c r="AF50" s="215" t="e">
        <f aca="false">FIN!AC10</f>
        <v>#REF!</v>
      </c>
      <c r="AG50" s="216" t="e">
        <f aca="false">SUM(G50:AF50)</f>
        <v>#REF!</v>
      </c>
    </row>
    <row r="51" customFormat="false" ht="12.75" hidden="false" customHeight="false" outlineLevel="0" collapsed="false">
      <c r="A51" s="29" t="s">
        <v>434</v>
      </c>
      <c r="B51" s="30"/>
      <c r="C51" s="30"/>
      <c r="D51" s="30"/>
      <c r="E51" s="30"/>
      <c r="F51" s="30"/>
      <c r="G51" s="212" t="e">
        <f aca="false">SUM(G46:G50)</f>
        <v>#REF!</v>
      </c>
      <c r="H51" s="212" t="e">
        <f aca="false">SUM(H46:H50)</f>
        <v>#REF!</v>
      </c>
      <c r="I51" s="212" t="e">
        <f aca="false">SUM(I46:I50)</f>
        <v>#REF!</v>
      </c>
      <c r="J51" s="212" t="e">
        <f aca="false">SUM(J46:J50)</f>
        <v>#REF!</v>
      </c>
      <c r="K51" s="212" t="e">
        <f aca="false">SUM(K46:K50)</f>
        <v>#REF!</v>
      </c>
      <c r="L51" s="212" t="e">
        <f aca="false">SUM(L46:L50)</f>
        <v>#REF!</v>
      </c>
      <c r="M51" s="212" t="e">
        <f aca="false">SUM(M46:M50)</f>
        <v>#REF!</v>
      </c>
      <c r="N51" s="212" t="e">
        <f aca="false">SUM(N46:N50)</f>
        <v>#REF!</v>
      </c>
      <c r="O51" s="212" t="e">
        <f aca="false">SUM(O46:O50)</f>
        <v>#REF!</v>
      </c>
      <c r="P51" s="212" t="e">
        <f aca="false">SUM(P46:P50)</f>
        <v>#REF!</v>
      </c>
      <c r="Q51" s="212" t="e">
        <f aca="false">SUM(Q46:Q50)</f>
        <v>#REF!</v>
      </c>
      <c r="R51" s="212" t="e">
        <f aca="false">SUM(R46:R50)</f>
        <v>#REF!</v>
      </c>
      <c r="S51" s="212" t="e">
        <f aca="false">SUM(S46:S50)</f>
        <v>#REF!</v>
      </c>
      <c r="T51" s="212" t="e">
        <f aca="false">SUM(T46:T50)</f>
        <v>#REF!</v>
      </c>
      <c r="U51" s="212" t="e">
        <f aca="false">SUM(U46:U50)</f>
        <v>#REF!</v>
      </c>
      <c r="V51" s="212" t="e">
        <f aca="false">SUM(V46:V50)</f>
        <v>#VALUE!</v>
      </c>
      <c r="W51" s="212" t="e">
        <f aca="false">SUM(W46:W50)</f>
        <v>#REF!</v>
      </c>
      <c r="X51" s="212" t="e">
        <f aca="false">SUM(X46:X50)</f>
        <v>#REF!</v>
      </c>
      <c r="Y51" s="212" t="e">
        <f aca="false">SUM(Y46:Y50)</f>
        <v>#REF!</v>
      </c>
      <c r="Z51" s="212" t="e">
        <f aca="false">SUM(Z46:Z50)</f>
        <v>#REF!</v>
      </c>
      <c r="AA51" s="212" t="e">
        <f aca="false">SUM(AA46:AA50)</f>
        <v>#REF!</v>
      </c>
      <c r="AB51" s="212" t="e">
        <f aca="false">SUM(AB46:AB50)</f>
        <v>#REF!</v>
      </c>
      <c r="AC51" s="212" t="e">
        <f aca="false">SUM(AC46:AC50)</f>
        <v>#REF!</v>
      </c>
      <c r="AD51" s="212" t="e">
        <f aca="false">SUM(AD46:AD50)</f>
        <v>#REF!</v>
      </c>
      <c r="AE51" s="212" t="e">
        <f aca="false">SUM(AE46:AE50)</f>
        <v>#REF!</v>
      </c>
      <c r="AF51" s="212" t="e">
        <f aca="false">SUM(AF46:AF50)</f>
        <v>#REF!</v>
      </c>
      <c r="AG51" s="213" t="e">
        <f aca="false">SUM(AG46:AG50)</f>
        <v>#VALUE!</v>
      </c>
    </row>
    <row r="52" customFormat="false" ht="12.75" hidden="false" customHeight="false" outlineLevel="0" collapsed="false">
      <c r="A52" s="29"/>
      <c r="B52" s="30"/>
      <c r="C52" s="30"/>
      <c r="D52" s="30"/>
      <c r="E52" s="30"/>
      <c r="F52" s="30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3" t="s">
        <v>1</v>
      </c>
    </row>
    <row r="53" customFormat="false" ht="12.75" hidden="false" customHeight="false" outlineLevel="0" collapsed="false">
      <c r="A53" s="29" t="s">
        <v>435</v>
      </c>
      <c r="B53" s="30"/>
      <c r="C53" s="30"/>
      <c r="D53" s="30"/>
      <c r="E53" s="30" t="s">
        <v>1</v>
      </c>
      <c r="F53" s="30"/>
      <c r="G53" s="212" t="e">
        <f aca="false">G44-G51</f>
        <v>#REF!</v>
      </c>
      <c r="H53" s="212" t="e">
        <f aca="false">H44-H51</f>
        <v>#REF!</v>
      </c>
      <c r="I53" s="212" t="e">
        <f aca="false">I44-I51</f>
        <v>#REF!</v>
      </c>
      <c r="J53" s="212" t="e">
        <f aca="false">J44-J51</f>
        <v>#REF!</v>
      </c>
      <c r="K53" s="212" t="e">
        <f aca="false">K44-K51</f>
        <v>#REF!</v>
      </c>
      <c r="L53" s="212" t="e">
        <f aca="false">L44-L51</f>
        <v>#REF!</v>
      </c>
      <c r="M53" s="212" t="e">
        <f aca="false">M44-M51</f>
        <v>#REF!</v>
      </c>
      <c r="N53" s="212" t="e">
        <f aca="false">N44-N51</f>
        <v>#REF!</v>
      </c>
      <c r="O53" s="212" t="e">
        <f aca="false">O44-O51</f>
        <v>#REF!</v>
      </c>
      <c r="P53" s="212" t="e">
        <f aca="false">P44-P51</f>
        <v>#REF!</v>
      </c>
      <c r="Q53" s="212" t="e">
        <f aca="false">Q44-Q51</f>
        <v>#REF!</v>
      </c>
      <c r="R53" s="212" t="e">
        <f aca="false">R44-R51</f>
        <v>#REF!</v>
      </c>
      <c r="S53" s="212" t="e">
        <f aca="false">S44-S51</f>
        <v>#REF!</v>
      </c>
      <c r="T53" s="212" t="e">
        <f aca="false">T44-T51</f>
        <v>#REF!</v>
      </c>
      <c r="U53" s="212" t="e">
        <f aca="false">U44-U51</f>
        <v>#REF!</v>
      </c>
      <c r="V53" s="212" t="e">
        <f aca="false">V44-V51</f>
        <v>#VALUE!</v>
      </c>
      <c r="W53" s="212" t="e">
        <f aca="false">W44-W51</f>
        <v>#REF!</v>
      </c>
      <c r="X53" s="212" t="e">
        <f aca="false">X44-X51</f>
        <v>#REF!</v>
      </c>
      <c r="Y53" s="212" t="e">
        <f aca="false">Y44-Y51</f>
        <v>#REF!</v>
      </c>
      <c r="Z53" s="212" t="e">
        <f aca="false">Z44-Z51</f>
        <v>#REF!</v>
      </c>
      <c r="AA53" s="212" t="e">
        <f aca="false">AA44-AA51</f>
        <v>#REF!</v>
      </c>
      <c r="AB53" s="212" t="e">
        <f aca="false">AB44-AB51</f>
        <v>#REF!</v>
      </c>
      <c r="AC53" s="212" t="e">
        <f aca="false">AC44-AC51</f>
        <v>#REF!</v>
      </c>
      <c r="AD53" s="212" t="e">
        <f aca="false">AD44-AD51</f>
        <v>#REF!</v>
      </c>
      <c r="AE53" s="212" t="e">
        <f aca="false">AE44-AE51</f>
        <v>#REF!</v>
      </c>
      <c r="AF53" s="212" t="e">
        <f aca="false">AF44-AF51</f>
        <v>#REF!</v>
      </c>
      <c r="AG53" s="213" t="e">
        <f aca="false">SUM(G53:AF53)</f>
        <v>#REF!</v>
      </c>
    </row>
    <row r="54" customFormat="false" ht="12.75" hidden="false" customHeight="false" outlineLevel="0" collapsed="false">
      <c r="A54" s="29" t="s">
        <v>436</v>
      </c>
      <c r="B54" s="30"/>
      <c r="C54" s="30"/>
      <c r="D54" s="30"/>
      <c r="E54" s="30" t="s">
        <v>1</v>
      </c>
      <c r="F54" s="30"/>
      <c r="G54" s="212" t="e">
        <f aca="false">IF(G53&lt;0,0,G53*ASS!$I$9)</f>
        <v>#REF!</v>
      </c>
      <c r="H54" s="212" t="e">
        <f aca="false">IF(H53&lt;0,0,H53*ASS!$I$9)</f>
        <v>#REF!</v>
      </c>
      <c r="I54" s="212" t="e">
        <f aca="false">IF(I53&lt;0,0,I53*ASS!$I$9)</f>
        <v>#REF!</v>
      </c>
      <c r="J54" s="212" t="e">
        <f aca="false">IF(J53&lt;0,0,J53*ASS!$I$9)</f>
        <v>#REF!</v>
      </c>
      <c r="K54" s="212" t="e">
        <f aca="false">IF(K53&lt;0,0,K53*ASS!$I$9)</f>
        <v>#REF!</v>
      </c>
      <c r="L54" s="212" t="e">
        <f aca="false">IF(L53&lt;0,0,L53*ASS!$I$9)</f>
        <v>#REF!</v>
      </c>
      <c r="M54" s="212" t="e">
        <f aca="false">IF(M53&lt;0,0,M53*ASS!$I$9)</f>
        <v>#REF!</v>
      </c>
      <c r="N54" s="212" t="e">
        <f aca="false">IF(N53&lt;0,0,N53*ASS!$I$9)</f>
        <v>#REF!</v>
      </c>
      <c r="O54" s="212" t="e">
        <f aca="false">IF(O53&lt;0,0,O53*ASS!$I$9)</f>
        <v>#REF!</v>
      </c>
      <c r="P54" s="212" t="e">
        <f aca="false">IF(P53&lt;0,0,P53*ASS!$I$9)</f>
        <v>#REF!</v>
      </c>
      <c r="Q54" s="212" t="e">
        <f aca="false">IF(Q53&lt;0,0,Q53*ASS!$I$9)</f>
        <v>#REF!</v>
      </c>
      <c r="R54" s="212" t="e">
        <f aca="false">IF(R53&lt;0,0,R53*ASS!$I$9)</f>
        <v>#REF!</v>
      </c>
      <c r="S54" s="212" t="e">
        <f aca="false">IF(S53&lt;0,0,S53*ASS!$I$9)</f>
        <v>#REF!</v>
      </c>
      <c r="T54" s="212" t="e">
        <f aca="false">IF(T53&lt;0,0,T53*ASS!$I$9)</f>
        <v>#REF!</v>
      </c>
      <c r="U54" s="212" t="e">
        <f aca="false">IF(U53&lt;0,0,U53*ASS!$I$9)</f>
        <v>#REF!</v>
      </c>
      <c r="V54" s="212" t="e">
        <f aca="false">IF(V53&lt;0,0,V53*ASS!$I$9)</f>
        <v>#VALUE!</v>
      </c>
      <c r="W54" s="212" t="e">
        <f aca="false">IF(W53&lt;0,0,W53*ASS!$I$9)</f>
        <v>#REF!</v>
      </c>
      <c r="X54" s="212" t="e">
        <f aca="false">IF(X53&lt;0,0,X53*ASS!$I$9)</f>
        <v>#REF!</v>
      </c>
      <c r="Y54" s="212" t="e">
        <f aca="false">IF(Y53&lt;0,0,Y53*ASS!$I$9)</f>
        <v>#REF!</v>
      </c>
      <c r="Z54" s="212" t="e">
        <f aca="false">IF(Z53&lt;0,0,Z53*ASS!$I$9)</f>
        <v>#REF!</v>
      </c>
      <c r="AA54" s="212" t="e">
        <f aca="false">IF(AA53&lt;0,0,AA53*ASS!$I$9)</f>
        <v>#REF!</v>
      </c>
      <c r="AB54" s="212" t="e">
        <f aca="false">IF(AB53&lt;0,0,AB53*ASS!$I$9)</f>
        <v>#REF!</v>
      </c>
      <c r="AC54" s="212" t="e">
        <f aca="false">IF(AC53&lt;0,0,AC53*ASS!$I$9)</f>
        <v>#REF!</v>
      </c>
      <c r="AD54" s="212" t="e">
        <f aca="false">IF(AD53&lt;0,0,AD53*ASS!$I$9)</f>
        <v>#REF!</v>
      </c>
      <c r="AE54" s="212" t="e">
        <f aca="false">IF(AE53&lt;0,0,AE53*ASS!$I$9)</f>
        <v>#REF!</v>
      </c>
      <c r="AF54" s="212" t="e">
        <f aca="false">IF(AF53&lt;0,0,AF53*ASS!$I$9)</f>
        <v>#REF!</v>
      </c>
      <c r="AG54" s="213" t="e">
        <f aca="false">SUM(G54:AF54)</f>
        <v>#REF!</v>
      </c>
    </row>
    <row r="55" customFormat="false" ht="12.75" hidden="false" customHeight="false" outlineLevel="0" collapsed="false">
      <c r="A55" s="29" t="s">
        <v>437</v>
      </c>
      <c r="B55" s="30"/>
      <c r="C55" s="30"/>
      <c r="D55" s="30"/>
      <c r="E55" s="30" t="s">
        <v>1</v>
      </c>
      <c r="F55" s="30"/>
      <c r="G55" s="212" t="e">
        <f aca="false">-G54*#REF!</f>
        <v>#REF!</v>
      </c>
      <c r="H55" s="212" t="e">
        <f aca="false">-H54*#REF!</f>
        <v>#REF!</v>
      </c>
      <c r="I55" s="212" t="e">
        <f aca="false">-I54*#REF!</f>
        <v>#REF!</v>
      </c>
      <c r="J55" s="212" t="e">
        <f aca="false">-J54*#REF!</f>
        <v>#REF!</v>
      </c>
      <c r="K55" s="212" t="e">
        <f aca="false">-K54*#REF!</f>
        <v>#REF!</v>
      </c>
      <c r="L55" s="212" t="e">
        <f aca="false">-L54*#REF!</f>
        <v>#REF!</v>
      </c>
      <c r="M55" s="212" t="e">
        <f aca="false">-M54*#REF!</f>
        <v>#REF!</v>
      </c>
      <c r="N55" s="212" t="e">
        <f aca="false">-N54*#REF!</f>
        <v>#REF!</v>
      </c>
      <c r="O55" s="212" t="e">
        <f aca="false">-O54*#REF!</f>
        <v>#REF!</v>
      </c>
      <c r="P55" s="212" t="e">
        <f aca="false">-P54*#REF!</f>
        <v>#REF!</v>
      </c>
      <c r="Q55" s="212" t="e">
        <f aca="false">-Q54*#REF!</f>
        <v>#REF!</v>
      </c>
      <c r="R55" s="212" t="e">
        <f aca="false">-R54*#REF!</f>
        <v>#REF!</v>
      </c>
      <c r="S55" s="212" t="e">
        <f aca="false">-S54*#REF!</f>
        <v>#REF!</v>
      </c>
      <c r="T55" s="212" t="e">
        <f aca="false">-T54*#REF!</f>
        <v>#REF!</v>
      </c>
      <c r="U55" s="212" t="e">
        <f aca="false">-U54*#REF!</f>
        <v>#REF!</v>
      </c>
      <c r="V55" s="212" t="e">
        <f aca="false">-V54*#REF!</f>
        <v>#VALUE!</v>
      </c>
      <c r="W55" s="212" t="e">
        <f aca="false">-W54*#REF!</f>
        <v>#REF!</v>
      </c>
      <c r="X55" s="212" t="e">
        <f aca="false">-X54*#REF!</f>
        <v>#REF!</v>
      </c>
      <c r="Y55" s="212" t="e">
        <f aca="false">-Y54*#REF!</f>
        <v>#REF!</v>
      </c>
      <c r="Z55" s="212" t="e">
        <f aca="false">-Z54*#REF!</f>
        <v>#REF!</v>
      </c>
      <c r="AA55" s="212" t="e">
        <f aca="false">-AA54*#REF!</f>
        <v>#REF!</v>
      </c>
      <c r="AB55" s="212" t="e">
        <f aca="false">-AB54*#REF!</f>
        <v>#REF!</v>
      </c>
      <c r="AC55" s="212" t="e">
        <f aca="false">-AC54*#REF!</f>
        <v>#REF!</v>
      </c>
      <c r="AD55" s="212" t="e">
        <f aca="false">-AD54*#REF!</f>
        <v>#REF!</v>
      </c>
      <c r="AE55" s="212" t="e">
        <f aca="false">-AE54*#REF!</f>
        <v>#REF!</v>
      </c>
      <c r="AF55" s="212" t="e">
        <f aca="false">-AF54*#REF!</f>
        <v>#REF!</v>
      </c>
      <c r="AG55" s="213" t="e">
        <f aca="false">SUM(G55:AA55)</f>
        <v>#REF!</v>
      </c>
    </row>
    <row r="56" customFormat="false" ht="12.75" hidden="false" customHeight="false" outlineLevel="0" collapsed="false">
      <c r="A56" s="29"/>
      <c r="B56" s="30"/>
      <c r="C56" s="30"/>
      <c r="D56" s="30"/>
      <c r="E56" s="30" t="s">
        <v>1</v>
      </c>
      <c r="F56" s="30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3" t="n">
        <f aca="false">SUM(G56:AA56)</f>
        <v>0</v>
      </c>
    </row>
    <row r="57" customFormat="false" ht="12.75" hidden="false" customHeight="false" outlineLevel="0" collapsed="false">
      <c r="A57" s="29" t="s">
        <v>438</v>
      </c>
      <c r="B57" s="30"/>
      <c r="C57" s="30"/>
      <c r="D57" s="30"/>
      <c r="E57" s="30" t="s">
        <v>1</v>
      </c>
      <c r="F57" s="30"/>
      <c r="G57" s="279" t="e">
        <f aca="false">G53-G54-G55</f>
        <v>#REF!</v>
      </c>
      <c r="H57" s="279" t="e">
        <f aca="false">H53-H54-H55</f>
        <v>#REF!</v>
      </c>
      <c r="I57" s="279" t="e">
        <f aca="false">I53-I54-I55</f>
        <v>#REF!</v>
      </c>
      <c r="J57" s="279" t="e">
        <f aca="false">J53-J54-J55</f>
        <v>#REF!</v>
      </c>
      <c r="K57" s="279" t="e">
        <f aca="false">K53-K54-K55</f>
        <v>#REF!</v>
      </c>
      <c r="L57" s="279" t="e">
        <f aca="false">L53-L54-L55</f>
        <v>#REF!</v>
      </c>
      <c r="M57" s="279" t="e">
        <f aca="false">M53-M54-M55</f>
        <v>#REF!</v>
      </c>
      <c r="N57" s="279" t="e">
        <f aca="false">N53-N54-N55</f>
        <v>#REF!</v>
      </c>
      <c r="O57" s="279" t="e">
        <f aca="false">O53-O54-O55</f>
        <v>#REF!</v>
      </c>
      <c r="P57" s="279" t="e">
        <f aca="false">P53-P54-P55</f>
        <v>#REF!</v>
      </c>
      <c r="Q57" s="279" t="e">
        <f aca="false">Q53-Q54-Q55</f>
        <v>#REF!</v>
      </c>
      <c r="R57" s="279" t="e">
        <f aca="false">R53-R54-R55</f>
        <v>#REF!</v>
      </c>
      <c r="S57" s="279" t="e">
        <f aca="false">S53-S54-S55</f>
        <v>#REF!</v>
      </c>
      <c r="T57" s="279" t="e">
        <f aca="false">T53-T54-T55</f>
        <v>#REF!</v>
      </c>
      <c r="U57" s="279" t="e">
        <f aca="false">U53-U54-U55</f>
        <v>#REF!</v>
      </c>
      <c r="V57" s="279" t="e">
        <f aca="false">V53-V54-V55</f>
        <v>#VALUE!</v>
      </c>
      <c r="W57" s="279" t="e">
        <f aca="false">W53-W54-W55</f>
        <v>#REF!</v>
      </c>
      <c r="X57" s="279" t="e">
        <f aca="false">X53-X54-X55</f>
        <v>#REF!</v>
      </c>
      <c r="Y57" s="279" t="e">
        <f aca="false">Y53-Y54-Y55</f>
        <v>#REF!</v>
      </c>
      <c r="Z57" s="279" t="e">
        <f aca="false">Z53-Z54-Z55</f>
        <v>#REF!</v>
      </c>
      <c r="AA57" s="279" t="e">
        <f aca="false">AA53-AA54-AA55</f>
        <v>#REF!</v>
      </c>
      <c r="AB57" s="279" t="e">
        <f aca="false">AB53-AB54-AB55</f>
        <v>#REF!</v>
      </c>
      <c r="AC57" s="279" t="e">
        <f aca="false">AC53-AC54-AC55</f>
        <v>#REF!</v>
      </c>
      <c r="AD57" s="279" t="e">
        <f aca="false">AD53-AD54-AD55</f>
        <v>#REF!</v>
      </c>
      <c r="AE57" s="279" t="e">
        <f aca="false">AE53-AE54-AE55</f>
        <v>#REF!</v>
      </c>
      <c r="AF57" s="279" t="e">
        <f aca="false">AF53-AF54-AF55</f>
        <v>#REF!</v>
      </c>
      <c r="AG57" s="213" t="e">
        <f aca="false">AG53-AG54+AG55</f>
        <v>#REF!</v>
      </c>
    </row>
    <row r="58" customFormat="false" ht="12.75" hidden="false" customHeight="false" outlineLevel="0" collapsed="false">
      <c r="A58" s="57"/>
      <c r="B58" s="58"/>
      <c r="C58" s="58"/>
      <c r="D58" s="58"/>
      <c r="E58" s="58"/>
      <c r="F58" s="58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431"/>
    </row>
    <row r="61" customFormat="false" ht="15.75" hidden="false" customHeight="false" outlineLevel="0" collapsed="false">
      <c r="A61" s="442" t="s">
        <v>439</v>
      </c>
      <c r="B61" s="258"/>
      <c r="C61" s="258"/>
      <c r="D61" s="443"/>
    </row>
    <row r="62" customFormat="false" ht="12.75" hidden="false" customHeight="false" outlineLevel="0" collapsed="false">
      <c r="G62" s="6" t="n">
        <f aca="false">G5</f>
        <v>1</v>
      </c>
      <c r="H62" s="6" t="n">
        <f aca="false">H5</f>
        <v>2</v>
      </c>
      <c r="I62" s="6" t="n">
        <f aca="false">I5</f>
        <v>3</v>
      </c>
      <c r="J62" s="6" t="n">
        <f aca="false">J5</f>
        <v>4</v>
      </c>
      <c r="K62" s="6" t="n">
        <f aca="false">K5</f>
        <v>5</v>
      </c>
      <c r="L62" s="6" t="n">
        <f aca="false">L5</f>
        <v>6</v>
      </c>
      <c r="M62" s="6" t="n">
        <f aca="false">M5</f>
        <v>7</v>
      </c>
      <c r="N62" s="6" t="n">
        <f aca="false">N5</f>
        <v>8</v>
      </c>
      <c r="O62" s="6" t="n">
        <f aca="false">O5</f>
        <v>9</v>
      </c>
      <c r="P62" s="6" t="n">
        <f aca="false">P5</f>
        <v>10</v>
      </c>
      <c r="Q62" s="6" t="n">
        <f aca="false">Q5</f>
        <v>11</v>
      </c>
      <c r="R62" s="6" t="n">
        <f aca="false">R5</f>
        <v>12</v>
      </c>
      <c r="S62" s="6" t="n">
        <f aca="false">S5</f>
        <v>13</v>
      </c>
      <c r="T62" s="6" t="n">
        <f aca="false">T5</f>
        <v>14</v>
      </c>
      <c r="U62" s="6" t="n">
        <f aca="false">U5</f>
        <v>15</v>
      </c>
      <c r="V62" s="6" t="n">
        <f aca="false">V5</f>
        <v>16</v>
      </c>
      <c r="W62" s="6" t="n">
        <f aca="false">W5</f>
        <v>17</v>
      </c>
      <c r="X62" s="6" t="n">
        <f aca="false">X5</f>
        <v>18</v>
      </c>
      <c r="Y62" s="6" t="n">
        <f aca="false">Y5</f>
        <v>19</v>
      </c>
      <c r="Z62" s="6" t="n">
        <f aca="false">Z5</f>
        <v>20</v>
      </c>
      <c r="AA62" s="6" t="n">
        <f aca="false">AA5</f>
        <v>21</v>
      </c>
      <c r="AB62" s="6" t="n">
        <f aca="false">AB5</f>
        <v>22</v>
      </c>
      <c r="AC62" s="6" t="n">
        <f aca="false">AC5</f>
        <v>23</v>
      </c>
      <c r="AD62" s="6" t="n">
        <f aca="false">AD5</f>
        <v>24</v>
      </c>
      <c r="AE62" s="6" t="n">
        <f aca="false">AE5</f>
        <v>25</v>
      </c>
      <c r="AF62" s="6" t="n">
        <f aca="false">AF5</f>
        <v>26</v>
      </c>
      <c r="AG62" s="194"/>
    </row>
    <row r="63" customFormat="false" ht="12.75" hidden="false" customHeight="false" outlineLevel="0" collapsed="false">
      <c r="G63" s="6" t="n">
        <f aca="false">G6</f>
        <v>2001</v>
      </c>
      <c r="H63" s="6" t="n">
        <f aca="false">H6</f>
        <v>2002</v>
      </c>
      <c r="I63" s="6" t="n">
        <f aca="false">I6</f>
        <v>2003</v>
      </c>
      <c r="J63" s="6" t="n">
        <f aca="false">J6</f>
        <v>2004</v>
      </c>
      <c r="K63" s="6" t="n">
        <f aca="false">K6</f>
        <v>2005</v>
      </c>
      <c r="L63" s="6" t="n">
        <f aca="false">L6</f>
        <v>2006</v>
      </c>
      <c r="M63" s="6" t="n">
        <f aca="false">M6</f>
        <v>2007</v>
      </c>
      <c r="N63" s="6" t="n">
        <f aca="false">N6</f>
        <v>2008</v>
      </c>
      <c r="O63" s="6" t="n">
        <f aca="false">O6</f>
        <v>2009</v>
      </c>
      <c r="P63" s="6" t="n">
        <f aca="false">P6</f>
        <v>2010</v>
      </c>
      <c r="Q63" s="6" t="n">
        <f aca="false">Q6</f>
        <v>2011</v>
      </c>
      <c r="R63" s="6" t="n">
        <f aca="false">R6</f>
        <v>2012</v>
      </c>
      <c r="S63" s="6" t="n">
        <f aca="false">S6</f>
        <v>2013</v>
      </c>
      <c r="T63" s="6" t="n">
        <f aca="false">T6</f>
        <v>2014</v>
      </c>
      <c r="U63" s="6" t="n">
        <f aca="false">U6</f>
        <v>2015</v>
      </c>
      <c r="V63" s="6" t="n">
        <f aca="false">V6</f>
        <v>2016</v>
      </c>
      <c r="W63" s="6" t="n">
        <f aca="false">W6</f>
        <v>2017</v>
      </c>
      <c r="X63" s="6" t="n">
        <f aca="false">X6</f>
        <v>2018</v>
      </c>
      <c r="Y63" s="6" t="n">
        <f aca="false">Y6</f>
        <v>2019</v>
      </c>
      <c r="Z63" s="6" t="n">
        <f aca="false">Z6</f>
        <v>2020</v>
      </c>
      <c r="AA63" s="6" t="n">
        <f aca="false">AA6</f>
        <v>2021</v>
      </c>
      <c r="AB63" s="6" t="n">
        <f aca="false">AB6</f>
        <v>2022</v>
      </c>
      <c r="AC63" s="6" t="n">
        <f aca="false">AC6</f>
        <v>2023</v>
      </c>
      <c r="AD63" s="6" t="n">
        <f aca="false">AD6</f>
        <v>2024</v>
      </c>
      <c r="AE63" s="6" t="n">
        <f aca="false">AE6</f>
        <v>2025</v>
      </c>
      <c r="AF63" s="6" t="n">
        <f aca="false">AF6</f>
        <v>2026</v>
      </c>
      <c r="AG63" s="444" t="s">
        <v>205</v>
      </c>
    </row>
    <row r="64" customFormat="false" ht="12.75" hidden="false" customHeight="false" outlineLevel="0" collapsed="false">
      <c r="A64" s="18" t="s">
        <v>440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94"/>
    </row>
    <row r="65" customFormat="false" ht="12.75" hidden="false" customHeight="false" outlineLevel="0" collapsed="false">
      <c r="A65" s="29"/>
      <c r="B65" s="30" t="s">
        <v>441</v>
      </c>
      <c r="C65" s="30"/>
      <c r="D65" s="30"/>
      <c r="E65" s="30"/>
      <c r="F65" s="212" t="s">
        <v>429</v>
      </c>
      <c r="G65" s="212" t="n">
        <f aca="false">CF!D25</f>
        <v>80819.865</v>
      </c>
      <c r="H65" s="212" t="n">
        <f aca="false">CF!E25</f>
        <v>137895.636</v>
      </c>
      <c r="I65" s="212" t="n">
        <f aca="false">CF!F25</f>
        <v>138075.39312</v>
      </c>
      <c r="J65" s="212" t="n">
        <f aca="false">CF!G25</f>
        <v>138588.2965824</v>
      </c>
      <c r="K65" s="212" t="n">
        <f aca="false">CF!H25</f>
        <v>139517.571714048</v>
      </c>
      <c r="L65" s="212" t="n">
        <f aca="false">CF!I25</f>
        <v>140322.293948329</v>
      </c>
      <c r="M65" s="212" t="n">
        <f aca="false">CF!J25</f>
        <v>142209.158827296</v>
      </c>
      <c r="N65" s="212" t="n">
        <f aca="false">CF!K25</f>
        <v>143555.382003841</v>
      </c>
      <c r="O65" s="212" t="n">
        <f aca="false">CF!L25</f>
        <v>145193.169243918</v>
      </c>
      <c r="P65" s="212" t="n">
        <f aca="false">CF!M25</f>
        <v>147039.306428797</v>
      </c>
      <c r="Q65" s="212" t="n">
        <f aca="false">CF!N25</f>
        <v>148844.139557373</v>
      </c>
      <c r="R65" s="212" t="n">
        <f aca="false">CF!O25</f>
        <v>150441.23474852</v>
      </c>
      <c r="S65" s="212" t="n">
        <f aca="false">CF!P25</f>
        <v>152746.01824349</v>
      </c>
      <c r="T65" s="212" t="n">
        <f aca="false">CF!Q25</f>
        <v>153844.43640836</v>
      </c>
      <c r="U65" s="212" t="n">
        <f aca="false">CF!R25</f>
        <v>155608.945736527</v>
      </c>
      <c r="V65" s="212" t="e">
        <f aca="false">CF!S25</f>
        <v>#VALUE!</v>
      </c>
      <c r="W65" s="212" t="n">
        <f aca="false">CF!T25</f>
        <v>896.154508283152</v>
      </c>
      <c r="X65" s="212" t="n">
        <f aca="false">CF!U25</f>
        <v>914.077598448815</v>
      </c>
      <c r="Y65" s="212" t="n">
        <f aca="false">CF!V25</f>
        <v>932.359150417791</v>
      </c>
      <c r="Z65" s="212" t="n">
        <f aca="false">CF!W25</f>
        <v>951.006333426147</v>
      </c>
      <c r="AA65" s="212" t="n">
        <f aca="false">CF!X25</f>
        <v>970.02646009467</v>
      </c>
      <c r="AB65" s="212" t="n">
        <f aca="false">CF!Y25</f>
        <v>989.426989296563</v>
      </c>
      <c r="AC65" s="212" t="n">
        <f aca="false">CF!Z25</f>
        <v>1009.21552908249</v>
      </c>
      <c r="AD65" s="212" t="n">
        <f aca="false">CF!AA25</f>
        <v>1029.39983966414</v>
      </c>
      <c r="AE65" s="212" t="n">
        <f aca="false">CF!AB25</f>
        <v>1049.98783645743</v>
      </c>
      <c r="AF65" s="212" t="n">
        <f aca="false">CF!AC25</f>
        <v>0</v>
      </c>
      <c r="AG65" s="213" t="e">
        <f aca="false">SUM(G65:AF65)</f>
        <v>#VALUE!</v>
      </c>
    </row>
    <row r="66" customFormat="false" ht="12.75" hidden="false" customHeight="false" outlineLevel="0" collapsed="false">
      <c r="A66" s="29"/>
      <c r="B66" s="30" t="s">
        <v>442</v>
      </c>
      <c r="C66" s="30"/>
      <c r="D66" s="30"/>
      <c r="E66" s="30"/>
      <c r="F66" s="30"/>
      <c r="G66" s="212" t="n">
        <f aca="false">-CF!D72</f>
        <v>-80819.865</v>
      </c>
      <c r="H66" s="212" t="n">
        <f aca="false">-CF!E72</f>
        <v>-137895.636</v>
      </c>
      <c r="I66" s="212" t="n">
        <f aca="false">-CF!F72</f>
        <v>-138075.39312</v>
      </c>
      <c r="J66" s="212" t="n">
        <f aca="false">-CF!G72</f>
        <v>-138588.2965824</v>
      </c>
      <c r="K66" s="212" t="n">
        <f aca="false">-CF!H72</f>
        <v>-139517.571714048</v>
      </c>
      <c r="L66" s="212" t="n">
        <f aca="false">-CF!I72</f>
        <v>-140322.293948329</v>
      </c>
      <c r="M66" s="212" t="n">
        <f aca="false">-CF!J72</f>
        <v>-142209.158827296</v>
      </c>
      <c r="N66" s="212" t="n">
        <f aca="false">-CF!K72</f>
        <v>-143555.382003841</v>
      </c>
      <c r="O66" s="212" t="n">
        <f aca="false">-CF!L72</f>
        <v>-145193.169243918</v>
      </c>
      <c r="P66" s="212" t="n">
        <f aca="false">-CF!M72</f>
        <v>-147039.306428797</v>
      </c>
      <c r="Q66" s="212" t="n">
        <f aca="false">-CF!N72</f>
        <v>-148844.139557373</v>
      </c>
      <c r="R66" s="212" t="n">
        <f aca="false">-CF!O72</f>
        <v>-150441.23474852</v>
      </c>
      <c r="S66" s="212" t="n">
        <f aca="false">-CF!P72</f>
        <v>-152746.01824349</v>
      </c>
      <c r="T66" s="212" t="n">
        <f aca="false">-CF!Q72</f>
        <v>-153844.43640836</v>
      </c>
      <c r="U66" s="212" t="n">
        <f aca="false">-CF!R72</f>
        <v>-155608.945736527</v>
      </c>
      <c r="V66" s="212" t="e">
        <f aca="false">-CF!S72</f>
        <v>#VALUE!</v>
      </c>
      <c r="W66" s="212" t="n">
        <f aca="false">-CF!T72</f>
        <v>-896.154508283152</v>
      </c>
      <c r="X66" s="212" t="n">
        <f aca="false">-CF!U72</f>
        <v>-914.077598448815</v>
      </c>
      <c r="Y66" s="212" t="n">
        <f aca="false">-CF!V72</f>
        <v>-932.359150417791</v>
      </c>
      <c r="Z66" s="212" t="n">
        <f aca="false">-CF!W72</f>
        <v>-951.006333426147</v>
      </c>
      <c r="AA66" s="212" t="n">
        <f aca="false">-CF!X72</f>
        <v>-970.02646009467</v>
      </c>
      <c r="AB66" s="212" t="n">
        <f aca="false">-CF!Y72</f>
        <v>-989.426989296563</v>
      </c>
      <c r="AC66" s="212" t="n">
        <f aca="false">-CF!Z72</f>
        <v>-1009.21552908249</v>
      </c>
      <c r="AD66" s="212" t="n">
        <f aca="false">-CF!AA72</f>
        <v>-1029.39983966414</v>
      </c>
      <c r="AE66" s="212" t="n">
        <f aca="false">-CF!AB72</f>
        <v>-1049.98783645743</v>
      </c>
      <c r="AF66" s="212" t="n">
        <f aca="false">-CF!AC72</f>
        <v>-0</v>
      </c>
      <c r="AG66" s="213" t="e">
        <f aca="false">SUM(G66:AF66)</f>
        <v>#VALUE!</v>
      </c>
    </row>
    <row r="67" customFormat="false" ht="12.75" hidden="false" customHeight="false" outlineLevel="0" collapsed="false">
      <c r="A67" s="29"/>
      <c r="B67" s="30" t="s">
        <v>443</v>
      </c>
      <c r="C67" s="30"/>
      <c r="D67" s="30"/>
      <c r="E67" s="30"/>
      <c r="F67" s="30"/>
      <c r="G67" s="212" t="n">
        <f aca="false">CF!D88</f>
        <v>0</v>
      </c>
      <c r="H67" s="212" t="n">
        <f aca="false">CF!E88</f>
        <v>0</v>
      </c>
      <c r="I67" s="212" t="n">
        <f aca="false">CF!F88</f>
        <v>0</v>
      </c>
      <c r="J67" s="212" t="n">
        <f aca="false">CF!G88</f>
        <v>0</v>
      </c>
      <c r="K67" s="212" t="n">
        <f aca="false">CF!H88</f>
        <v>0</v>
      </c>
      <c r="L67" s="212" t="n">
        <f aca="false">CF!I88</f>
        <v>0</v>
      </c>
      <c r="M67" s="212" t="n">
        <f aca="false">CF!J88</f>
        <v>0</v>
      </c>
      <c r="N67" s="212" t="n">
        <f aca="false">CF!K88</f>
        <v>0</v>
      </c>
      <c r="O67" s="212" t="n">
        <f aca="false">CF!L88</f>
        <v>0</v>
      </c>
      <c r="P67" s="212" t="n">
        <f aca="false">CF!M88</f>
        <v>0</v>
      </c>
      <c r="Q67" s="212" t="n">
        <f aca="false">CF!N88</f>
        <v>0</v>
      </c>
      <c r="R67" s="212" t="n">
        <f aca="false">CF!O88</f>
        <v>0</v>
      </c>
      <c r="S67" s="212" t="n">
        <f aca="false">CF!P88</f>
        <v>0</v>
      </c>
      <c r="T67" s="212" t="n">
        <f aca="false">CF!Q88</f>
        <v>0</v>
      </c>
      <c r="U67" s="212" t="n">
        <f aca="false">CF!R88</f>
        <v>0</v>
      </c>
      <c r="V67" s="212" t="n">
        <f aca="false">CF!S88</f>
        <v>0</v>
      </c>
      <c r="W67" s="212" t="n">
        <f aca="false">CF!T88</f>
        <v>0</v>
      </c>
      <c r="X67" s="212" t="n">
        <f aca="false">CF!U88</f>
        <v>0</v>
      </c>
      <c r="Y67" s="212" t="n">
        <f aca="false">CF!V88</f>
        <v>0</v>
      </c>
      <c r="Z67" s="212" t="n">
        <f aca="false">CF!W88</f>
        <v>0</v>
      </c>
      <c r="AA67" s="212" t="n">
        <f aca="false">CF!X88</f>
        <v>0</v>
      </c>
      <c r="AB67" s="212" t="n">
        <f aca="false">CF!Y88</f>
        <v>0</v>
      </c>
      <c r="AC67" s="212" t="n">
        <f aca="false">CF!Z88</f>
        <v>0</v>
      </c>
      <c r="AD67" s="212" t="n">
        <f aca="false">CF!AA88</f>
        <v>0</v>
      </c>
      <c r="AE67" s="212" t="n">
        <f aca="false">CF!AB88</f>
        <v>0</v>
      </c>
      <c r="AF67" s="212" t="n">
        <f aca="false">CF!AC88</f>
        <v>0</v>
      </c>
      <c r="AG67" s="213" t="n">
        <f aca="false">SUM(G67:AF67)</f>
        <v>0</v>
      </c>
    </row>
    <row r="68" customFormat="false" ht="12.75" hidden="false" customHeight="false" outlineLevel="0" collapsed="false">
      <c r="A68" s="29"/>
      <c r="B68" s="30" t="s">
        <v>444</v>
      </c>
      <c r="C68" s="30"/>
      <c r="D68" s="30"/>
      <c r="E68" s="30"/>
      <c r="F68" s="30"/>
      <c r="G68" s="212" t="n">
        <f aca="false">CF!D92+CF!D93</f>
        <v>0</v>
      </c>
      <c r="H68" s="212" t="n">
        <f aca="false">CF!E92+CF!E93</f>
        <v>0</v>
      </c>
      <c r="I68" s="212" t="n">
        <f aca="false">CF!F92+CF!F93</f>
        <v>0</v>
      </c>
      <c r="J68" s="212" t="n">
        <f aca="false">CF!G92+CF!G93</f>
        <v>0</v>
      </c>
      <c r="K68" s="212" t="n">
        <f aca="false">CF!H92+CF!H93</f>
        <v>0</v>
      </c>
      <c r="L68" s="212" t="n">
        <f aca="false">CF!I92+CF!I93</f>
        <v>0</v>
      </c>
      <c r="M68" s="212" t="n">
        <f aca="false">CF!J92+CF!J93</f>
        <v>0</v>
      </c>
      <c r="N68" s="212" t="n">
        <f aca="false">CF!K92+CF!K93</f>
        <v>0</v>
      </c>
      <c r="O68" s="212" t="n">
        <f aca="false">CF!L92+CF!L93</f>
        <v>0</v>
      </c>
      <c r="P68" s="212" t="n">
        <f aca="false">CF!M92+CF!M93</f>
        <v>0</v>
      </c>
      <c r="Q68" s="212" t="n">
        <f aca="false">CF!N92+CF!N93</f>
        <v>0</v>
      </c>
      <c r="R68" s="212" t="n">
        <f aca="false">CF!O92+CF!O93</f>
        <v>0</v>
      </c>
      <c r="S68" s="212" t="n">
        <f aca="false">CF!P92+CF!P93</f>
        <v>0</v>
      </c>
      <c r="T68" s="212" t="n">
        <f aca="false">CF!Q92+CF!Q93</f>
        <v>0</v>
      </c>
      <c r="U68" s="212" t="n">
        <f aca="false">CF!R92+CF!R93</f>
        <v>0</v>
      </c>
      <c r="V68" s="212" t="n">
        <f aca="false">CF!S92+CF!S93</f>
        <v>0</v>
      </c>
      <c r="W68" s="212" t="n">
        <f aca="false">CF!T92+CF!T93</f>
        <v>0</v>
      </c>
      <c r="X68" s="212" t="n">
        <f aca="false">CF!U92+CF!U93</f>
        <v>0</v>
      </c>
      <c r="Y68" s="212" t="n">
        <f aca="false">CF!V92+CF!V93</f>
        <v>0</v>
      </c>
      <c r="Z68" s="212" t="n">
        <f aca="false">CF!W92+CF!W93</f>
        <v>0</v>
      </c>
      <c r="AA68" s="212" t="n">
        <f aca="false">CF!X92+CF!X93</f>
        <v>0</v>
      </c>
      <c r="AB68" s="212" t="n">
        <f aca="false">CF!Y92+CF!Y93</f>
        <v>0</v>
      </c>
      <c r="AC68" s="212" t="n">
        <f aca="false">CF!Z92+CF!Z93</f>
        <v>0</v>
      </c>
      <c r="AD68" s="212" t="n">
        <f aca="false">CF!AA92+CF!AA93</f>
        <v>0</v>
      </c>
      <c r="AE68" s="212" t="n">
        <f aca="false">CF!AB92+CF!AB93</f>
        <v>0</v>
      </c>
      <c r="AF68" s="212" t="n">
        <f aca="false">CF!AC92+CF!AC93</f>
        <v>0</v>
      </c>
      <c r="AG68" s="213"/>
    </row>
    <row r="69" customFormat="false" ht="12.75" hidden="false" customHeight="false" outlineLevel="0" collapsed="false">
      <c r="A69" s="29"/>
      <c r="B69" s="30" t="s">
        <v>445</v>
      </c>
      <c r="C69" s="30"/>
      <c r="D69" s="30"/>
      <c r="E69" s="30"/>
      <c r="F69" s="30"/>
      <c r="G69" s="212" t="e">
        <f aca="false">-FIN!D10</f>
        <v>#REF!</v>
      </c>
      <c r="H69" s="212" t="e">
        <f aca="false">-FIN!E10</f>
        <v>#REF!</v>
      </c>
      <c r="I69" s="212" t="e">
        <f aca="false">-FIN!F10</f>
        <v>#REF!</v>
      </c>
      <c r="J69" s="212" t="e">
        <f aca="false">-FIN!G10</f>
        <v>#REF!</v>
      </c>
      <c r="K69" s="212" t="e">
        <f aca="false">-FIN!H10</f>
        <v>#REF!</v>
      </c>
      <c r="L69" s="212" t="e">
        <f aca="false">-FIN!I10</f>
        <v>#REF!</v>
      </c>
      <c r="M69" s="212" t="e">
        <f aca="false">-FIN!J10</f>
        <v>#REF!</v>
      </c>
      <c r="N69" s="212" t="e">
        <f aca="false">-FIN!K10</f>
        <v>#REF!</v>
      </c>
      <c r="O69" s="212" t="e">
        <f aca="false">-FIN!L10</f>
        <v>#REF!</v>
      </c>
      <c r="P69" s="212" t="e">
        <f aca="false">-FIN!M10</f>
        <v>#REF!</v>
      </c>
      <c r="Q69" s="212" t="e">
        <f aca="false">-FIN!N10</f>
        <v>#REF!</v>
      </c>
      <c r="R69" s="212" t="e">
        <f aca="false">-FIN!O10</f>
        <v>#REF!</v>
      </c>
      <c r="S69" s="212" t="e">
        <f aca="false">-FIN!P10</f>
        <v>#REF!</v>
      </c>
      <c r="T69" s="212" t="e">
        <f aca="false">-FIN!Q10</f>
        <v>#REF!</v>
      </c>
      <c r="U69" s="212" t="e">
        <f aca="false">-FIN!R10</f>
        <v>#REF!</v>
      </c>
      <c r="V69" s="212" t="e">
        <f aca="false">-FIN!S10</f>
        <v>#REF!</v>
      </c>
      <c r="W69" s="212" t="e">
        <f aca="false">-FIN!T10</f>
        <v>#REF!</v>
      </c>
      <c r="X69" s="212" t="e">
        <f aca="false">-FIN!U10</f>
        <v>#REF!</v>
      </c>
      <c r="Y69" s="212" t="e">
        <f aca="false">-FIN!V10</f>
        <v>#REF!</v>
      </c>
      <c r="Z69" s="212" t="e">
        <f aca="false">-FIN!W10</f>
        <v>#REF!</v>
      </c>
      <c r="AA69" s="212" t="e">
        <f aca="false">-FIN!X10</f>
        <v>#REF!</v>
      </c>
      <c r="AB69" s="212" t="e">
        <f aca="false">-FIN!Y10</f>
        <v>#REF!</v>
      </c>
      <c r="AC69" s="212" t="e">
        <f aca="false">-FIN!Z10</f>
        <v>#REF!</v>
      </c>
      <c r="AD69" s="212" t="e">
        <f aca="false">-FIN!AA10</f>
        <v>#REF!</v>
      </c>
      <c r="AE69" s="212" t="e">
        <f aca="false">-FIN!AB10</f>
        <v>#REF!</v>
      </c>
      <c r="AF69" s="212" t="e">
        <f aca="false">-FIN!AC10</f>
        <v>#REF!</v>
      </c>
      <c r="AG69" s="213" t="e">
        <f aca="false">SUM(G69:AF69)</f>
        <v>#REF!</v>
      </c>
    </row>
    <row r="70" customFormat="false" ht="12.75" hidden="false" customHeight="false" outlineLevel="0" collapsed="false">
      <c r="A70" s="29"/>
      <c r="B70" s="30" t="s">
        <v>446</v>
      </c>
      <c r="C70" s="30"/>
      <c r="D70" s="30"/>
      <c r="E70" s="30"/>
      <c r="F70" s="30"/>
      <c r="G70" s="215" t="e">
        <f aca="false">CF!D94</f>
        <v>#REF!</v>
      </c>
      <c r="H70" s="215" t="e">
        <f aca="false">CF!E94</f>
        <v>#REF!</v>
      </c>
      <c r="I70" s="215" t="e">
        <f aca="false">CF!F94</f>
        <v>#REF!</v>
      </c>
      <c r="J70" s="215" t="e">
        <f aca="false">CF!G94</f>
        <v>#REF!</v>
      </c>
      <c r="K70" s="215" t="e">
        <f aca="false">CF!H94</f>
        <v>#REF!</v>
      </c>
      <c r="L70" s="215" t="e">
        <f aca="false">CF!I94</f>
        <v>#REF!</v>
      </c>
      <c r="M70" s="215" t="e">
        <f aca="false">CF!J94</f>
        <v>#REF!</v>
      </c>
      <c r="N70" s="215" t="e">
        <f aca="false">CF!K94</f>
        <v>#REF!</v>
      </c>
      <c r="O70" s="215" t="e">
        <f aca="false">CF!L94</f>
        <v>#REF!</v>
      </c>
      <c r="P70" s="215" t="e">
        <f aca="false">CF!M94</f>
        <v>#REF!</v>
      </c>
      <c r="Q70" s="215" t="e">
        <f aca="false">CF!N94</f>
        <v>#REF!</v>
      </c>
      <c r="R70" s="215" t="e">
        <f aca="false">CF!O94</f>
        <v>#REF!</v>
      </c>
      <c r="S70" s="215" t="e">
        <f aca="false">CF!P94</f>
        <v>#REF!</v>
      </c>
      <c r="T70" s="215" t="e">
        <f aca="false">CF!Q94</f>
        <v>#REF!</v>
      </c>
      <c r="U70" s="215" t="e">
        <f aca="false">CF!R94</f>
        <v>#REF!</v>
      </c>
      <c r="V70" s="215" t="e">
        <f aca="false">CF!S94</f>
        <v>#VALUE!</v>
      </c>
      <c r="W70" s="215" t="e">
        <f aca="false">CF!T94</f>
        <v>#REF!</v>
      </c>
      <c r="X70" s="215" t="e">
        <f aca="false">CF!U94</f>
        <v>#REF!</v>
      </c>
      <c r="Y70" s="215" t="e">
        <f aca="false">CF!V94</f>
        <v>#REF!</v>
      </c>
      <c r="Z70" s="215" t="e">
        <f aca="false">CF!W94</f>
        <v>#REF!</v>
      </c>
      <c r="AA70" s="215" t="e">
        <f aca="false">CF!X94</f>
        <v>#REF!</v>
      </c>
      <c r="AB70" s="215" t="e">
        <f aca="false">CF!Y94</f>
        <v>#REF!</v>
      </c>
      <c r="AC70" s="215" t="e">
        <f aca="false">CF!Z94</f>
        <v>#REF!</v>
      </c>
      <c r="AD70" s="215" t="e">
        <f aca="false">CF!AA94</f>
        <v>#REF!</v>
      </c>
      <c r="AE70" s="215" t="e">
        <f aca="false">CF!AB94</f>
        <v>#REF!</v>
      </c>
      <c r="AF70" s="215" t="e">
        <f aca="false">CF!AC94</f>
        <v>#REF!</v>
      </c>
      <c r="AG70" s="429" t="e">
        <f aca="false">SUM(G70:AF70)</f>
        <v>#REF!</v>
      </c>
    </row>
    <row r="71" customFormat="false" ht="12.75" hidden="false" customHeight="false" outlineLevel="0" collapsed="false">
      <c r="A71" s="29"/>
      <c r="B71" s="30"/>
      <c r="C71" s="30" t="s">
        <v>447</v>
      </c>
      <c r="D71" s="30"/>
      <c r="E71" s="30"/>
      <c r="F71" s="30"/>
      <c r="G71" s="212" t="e">
        <f aca="false">SUM(G65:G70)</f>
        <v>#REF!</v>
      </c>
      <c r="H71" s="212" t="e">
        <f aca="false">SUM(H65:H70)</f>
        <v>#REF!</v>
      </c>
      <c r="I71" s="212" t="e">
        <f aca="false">SUM(I65:I70)</f>
        <v>#REF!</v>
      </c>
      <c r="J71" s="212" t="e">
        <f aca="false">SUM(J65:J70)</f>
        <v>#REF!</v>
      </c>
      <c r="K71" s="212" t="e">
        <f aca="false">SUM(K65:K70)</f>
        <v>#REF!</v>
      </c>
      <c r="L71" s="212" t="e">
        <f aca="false">SUM(L65:L70)</f>
        <v>#REF!</v>
      </c>
      <c r="M71" s="212" t="e">
        <f aca="false">SUM(M65:M70)</f>
        <v>#REF!</v>
      </c>
      <c r="N71" s="212" t="e">
        <f aca="false">SUM(N65:N70)</f>
        <v>#REF!</v>
      </c>
      <c r="O71" s="212" t="e">
        <f aca="false">SUM(O65:O70)</f>
        <v>#REF!</v>
      </c>
      <c r="P71" s="212" t="e">
        <f aca="false">SUM(P65:P70)</f>
        <v>#REF!</v>
      </c>
      <c r="Q71" s="212" t="e">
        <f aca="false">SUM(Q65:Q70)</f>
        <v>#REF!</v>
      </c>
      <c r="R71" s="212" t="e">
        <f aca="false">SUM(R65:R70)</f>
        <v>#REF!</v>
      </c>
      <c r="S71" s="212" t="e">
        <f aca="false">SUM(S65:S70)</f>
        <v>#REF!</v>
      </c>
      <c r="T71" s="212" t="e">
        <f aca="false">SUM(T65:T70)</f>
        <v>#REF!</v>
      </c>
      <c r="U71" s="212" t="e">
        <f aca="false">SUM(U65:U70)</f>
        <v>#REF!</v>
      </c>
      <c r="V71" s="212" t="e">
        <f aca="false">SUM(V65:V70)</f>
        <v>#VALUE!</v>
      </c>
      <c r="W71" s="212" t="e">
        <f aca="false">SUM(W65:W70)</f>
        <v>#REF!</v>
      </c>
      <c r="X71" s="212" t="e">
        <f aca="false">SUM(X65:X70)</f>
        <v>#REF!</v>
      </c>
      <c r="Y71" s="212" t="e">
        <f aca="false">SUM(Y65:Y70)</f>
        <v>#REF!</v>
      </c>
      <c r="Z71" s="212" t="e">
        <f aca="false">SUM(Z65:Z70)</f>
        <v>#REF!</v>
      </c>
      <c r="AA71" s="212" t="e">
        <f aca="false">SUM(AA65:AA70)</f>
        <v>#REF!</v>
      </c>
      <c r="AB71" s="212" t="e">
        <f aca="false">SUM(AB65:AB70)</f>
        <v>#REF!</v>
      </c>
      <c r="AC71" s="212" t="e">
        <f aca="false">SUM(AC65:AC70)</f>
        <v>#REF!</v>
      </c>
      <c r="AD71" s="212" t="e">
        <f aca="false">SUM(AD65:AD70)</f>
        <v>#REF!</v>
      </c>
      <c r="AE71" s="212" t="e">
        <f aca="false">SUM(AE65:AE70)</f>
        <v>#REF!</v>
      </c>
      <c r="AF71" s="212" t="e">
        <f aca="false">SUM(AF65:AF70)</f>
        <v>#REF!</v>
      </c>
      <c r="AG71" s="213" t="e">
        <f aca="false">SUM(G71:AF71)</f>
        <v>#REF!</v>
      </c>
    </row>
    <row r="72" customFormat="false" ht="12.75" hidden="false" customHeight="false" outlineLevel="0" collapsed="false">
      <c r="A72" s="29"/>
      <c r="B72" s="30"/>
      <c r="C72" s="30"/>
      <c r="D72" s="30"/>
      <c r="E72" s="30"/>
      <c r="F72" s="30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3"/>
    </row>
    <row r="73" customFormat="false" ht="12.75" hidden="false" customHeight="false" outlineLevel="0" collapsed="false">
      <c r="A73" s="29" t="s">
        <v>448</v>
      </c>
      <c r="B73" s="30"/>
      <c r="C73" s="30"/>
      <c r="D73" s="30"/>
      <c r="E73" s="30"/>
      <c r="F73" s="30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3"/>
    </row>
    <row r="74" customFormat="false" ht="12.75" hidden="false" customHeight="false" outlineLevel="0" collapsed="false">
      <c r="A74" s="29"/>
      <c r="B74" s="30" t="s">
        <v>449</v>
      </c>
      <c r="C74" s="30"/>
      <c r="D74" s="30"/>
      <c r="E74" s="30"/>
      <c r="F74" s="30"/>
      <c r="G74" s="212" t="e">
        <f aca="false">-FIN!D11</f>
        <v>#REF!</v>
      </c>
      <c r="H74" s="212" t="e">
        <f aca="false">-FIN!E11</f>
        <v>#REF!</v>
      </c>
      <c r="I74" s="212" t="e">
        <f aca="false">-FIN!F11</f>
        <v>#REF!</v>
      </c>
      <c r="J74" s="212" t="e">
        <f aca="false">-FIN!G11</f>
        <v>#REF!</v>
      </c>
      <c r="K74" s="212" t="e">
        <f aca="false">-FIN!H11</f>
        <v>#REF!</v>
      </c>
      <c r="L74" s="212" t="e">
        <f aca="false">-FIN!I11</f>
        <v>#REF!</v>
      </c>
      <c r="M74" s="212" t="e">
        <f aca="false">-FIN!J11</f>
        <v>#REF!</v>
      </c>
      <c r="N74" s="212" t="e">
        <f aca="false">-FIN!K11</f>
        <v>#REF!</v>
      </c>
      <c r="O74" s="212" t="e">
        <f aca="false">-FIN!L11</f>
        <v>#REF!</v>
      </c>
      <c r="P74" s="212" t="e">
        <f aca="false">-FIN!M11</f>
        <v>#REF!</v>
      </c>
      <c r="Q74" s="212" t="e">
        <f aca="false">-FIN!N11</f>
        <v>#REF!</v>
      </c>
      <c r="R74" s="212" t="e">
        <f aca="false">-FIN!O11</f>
        <v>#REF!</v>
      </c>
      <c r="S74" s="212" t="e">
        <f aca="false">-FIN!P11</f>
        <v>#REF!</v>
      </c>
      <c r="T74" s="212" t="e">
        <f aca="false">-FIN!Q11</f>
        <v>#REF!</v>
      </c>
      <c r="U74" s="212" t="e">
        <f aca="false">-FIN!R11</f>
        <v>#REF!</v>
      </c>
      <c r="V74" s="212" t="e">
        <f aca="false">-FIN!S11</f>
        <v>#REF!</v>
      </c>
      <c r="W74" s="212" t="e">
        <f aca="false">-FIN!T11</f>
        <v>#REF!</v>
      </c>
      <c r="X74" s="212" t="e">
        <f aca="false">-FIN!U11</f>
        <v>#REF!</v>
      </c>
      <c r="Y74" s="212" t="e">
        <f aca="false">-FIN!V11</f>
        <v>#REF!</v>
      </c>
      <c r="Z74" s="212" t="e">
        <f aca="false">-FIN!W11</f>
        <v>#REF!</v>
      </c>
      <c r="AA74" s="212" t="e">
        <f aca="false">-FIN!X11</f>
        <v>#REF!</v>
      </c>
      <c r="AB74" s="212" t="e">
        <f aca="false">-FIN!Y11</f>
        <v>#REF!</v>
      </c>
      <c r="AC74" s="212" t="e">
        <f aca="false">-FIN!Z11</f>
        <v>#REF!</v>
      </c>
      <c r="AD74" s="212" t="e">
        <f aca="false">-FIN!AA11</f>
        <v>#REF!</v>
      </c>
      <c r="AE74" s="212" t="e">
        <f aca="false">-FIN!AB11</f>
        <v>#REF!</v>
      </c>
      <c r="AF74" s="212" t="e">
        <f aca="false">-FIN!AC11</f>
        <v>#REF!</v>
      </c>
      <c r="AG74" s="213" t="e">
        <f aca="false">SUM(G74:AA74)</f>
        <v>#REF!</v>
      </c>
    </row>
    <row r="75" customFormat="false" ht="12.75" hidden="false" customHeight="false" outlineLevel="0" collapsed="false">
      <c r="A75" s="29"/>
      <c r="B75" s="30" t="s">
        <v>450</v>
      </c>
      <c r="C75" s="30"/>
      <c r="D75" s="30"/>
      <c r="E75" s="30"/>
      <c r="F75" s="30"/>
      <c r="G75" s="212" t="e">
        <f aca="false">COST*DEBTPERC</f>
        <v>#REF!</v>
      </c>
      <c r="H75" s="212" t="n">
        <v>0</v>
      </c>
      <c r="I75" s="212" t="n">
        <v>0</v>
      </c>
      <c r="J75" s="212" t="n">
        <v>0</v>
      </c>
      <c r="K75" s="212" t="n">
        <v>0</v>
      </c>
      <c r="L75" s="212" t="n">
        <v>0</v>
      </c>
      <c r="M75" s="212" t="n">
        <v>0</v>
      </c>
      <c r="N75" s="212" t="n">
        <v>0</v>
      </c>
      <c r="O75" s="212" t="n">
        <v>0</v>
      </c>
      <c r="P75" s="212" t="n">
        <v>0</v>
      </c>
      <c r="Q75" s="212" t="n">
        <v>0</v>
      </c>
      <c r="R75" s="212" t="n">
        <v>0</v>
      </c>
      <c r="S75" s="212" t="n">
        <v>0</v>
      </c>
      <c r="T75" s="212" t="n">
        <v>0</v>
      </c>
      <c r="U75" s="212" t="n">
        <v>0</v>
      </c>
      <c r="V75" s="212" t="n">
        <v>0</v>
      </c>
      <c r="W75" s="212" t="n">
        <v>0</v>
      </c>
      <c r="X75" s="212" t="n">
        <v>0</v>
      </c>
      <c r="Y75" s="212" t="n">
        <v>0</v>
      </c>
      <c r="Z75" s="212" t="n">
        <v>0</v>
      </c>
      <c r="AA75" s="212" t="n">
        <v>0</v>
      </c>
      <c r="AB75" s="212" t="n">
        <v>0</v>
      </c>
      <c r="AC75" s="212" t="n">
        <v>0</v>
      </c>
      <c r="AD75" s="212" t="n">
        <v>0</v>
      </c>
      <c r="AE75" s="212" t="n">
        <v>0</v>
      </c>
      <c r="AF75" s="212" t="n">
        <v>0</v>
      </c>
      <c r="AG75" s="213" t="e">
        <f aca="false">SUM(G75:AA75)</f>
        <v>#REF!</v>
      </c>
    </row>
    <row r="76" customFormat="false" ht="12.75" hidden="false" customHeight="false" outlineLevel="0" collapsed="false">
      <c r="A76" s="29"/>
      <c r="B76" s="30" t="s">
        <v>451</v>
      </c>
      <c r="C76" s="30"/>
      <c r="D76" s="30"/>
      <c r="E76" s="30"/>
      <c r="F76" s="30"/>
      <c r="G76" s="212" t="n">
        <v>0</v>
      </c>
      <c r="H76" s="212" t="n">
        <v>0</v>
      </c>
      <c r="I76" s="212" t="n">
        <v>0</v>
      </c>
      <c r="J76" s="212" t="n">
        <v>0</v>
      </c>
      <c r="K76" s="212" t="n">
        <v>0</v>
      </c>
      <c r="L76" s="212" t="n">
        <v>0</v>
      </c>
      <c r="M76" s="212" t="n">
        <v>0</v>
      </c>
      <c r="N76" s="212" t="n">
        <v>0</v>
      </c>
      <c r="O76" s="212" t="n">
        <v>0</v>
      </c>
      <c r="P76" s="212" t="n">
        <v>0</v>
      </c>
      <c r="Q76" s="212" t="n">
        <v>0</v>
      </c>
      <c r="R76" s="212" t="n">
        <v>0</v>
      </c>
      <c r="S76" s="212" t="n">
        <v>0</v>
      </c>
      <c r="T76" s="212" t="n">
        <v>0</v>
      </c>
      <c r="U76" s="212" t="n">
        <v>0</v>
      </c>
      <c r="V76" s="212" t="n">
        <v>0</v>
      </c>
      <c r="W76" s="212" t="n">
        <v>0</v>
      </c>
      <c r="X76" s="212" t="n">
        <v>0</v>
      </c>
      <c r="Y76" s="212" t="n">
        <v>0</v>
      </c>
      <c r="Z76" s="212" t="n">
        <v>0</v>
      </c>
      <c r="AA76" s="212" t="n">
        <v>0</v>
      </c>
      <c r="AB76" s="212" t="n">
        <v>0</v>
      </c>
      <c r="AC76" s="212" t="n">
        <v>0</v>
      </c>
      <c r="AD76" s="212" t="n">
        <v>0</v>
      </c>
      <c r="AE76" s="212" t="n">
        <v>0</v>
      </c>
      <c r="AF76" s="212" t="n">
        <v>0</v>
      </c>
      <c r="AG76" s="213" t="n">
        <f aca="false">SUM(G76:AA76)</f>
        <v>0</v>
      </c>
    </row>
    <row r="77" customFormat="false" ht="12.75" hidden="false" customHeight="false" outlineLevel="0" collapsed="false">
      <c r="A77" s="29"/>
      <c r="B77" s="30" t="s">
        <v>452</v>
      </c>
      <c r="C77" s="30"/>
      <c r="D77" s="30"/>
      <c r="E77" s="30"/>
      <c r="F77" s="30"/>
      <c r="G77" s="212" t="n">
        <v>0</v>
      </c>
      <c r="H77" s="212" t="n">
        <v>0</v>
      </c>
      <c r="I77" s="212" t="n">
        <v>0</v>
      </c>
      <c r="J77" s="212" t="n">
        <v>0</v>
      </c>
      <c r="K77" s="212" t="n">
        <v>0</v>
      </c>
      <c r="L77" s="212" t="n">
        <v>0</v>
      </c>
      <c r="M77" s="212" t="n">
        <v>0</v>
      </c>
      <c r="N77" s="212" t="n">
        <v>0</v>
      </c>
      <c r="O77" s="212" t="n">
        <v>0</v>
      </c>
      <c r="P77" s="212" t="n">
        <v>0</v>
      </c>
      <c r="Q77" s="212" t="n">
        <v>0</v>
      </c>
      <c r="R77" s="212" t="n">
        <v>0</v>
      </c>
      <c r="S77" s="212" t="n">
        <v>0</v>
      </c>
      <c r="T77" s="212" t="n">
        <v>0</v>
      </c>
      <c r="U77" s="212" t="n">
        <v>0</v>
      </c>
      <c r="V77" s="212" t="n">
        <v>0</v>
      </c>
      <c r="W77" s="212" t="n">
        <v>0</v>
      </c>
      <c r="X77" s="212" t="n">
        <v>0</v>
      </c>
      <c r="Y77" s="212" t="n">
        <v>0</v>
      </c>
      <c r="Z77" s="212" t="n">
        <v>0</v>
      </c>
      <c r="AA77" s="212" t="n">
        <v>0</v>
      </c>
      <c r="AB77" s="212" t="n">
        <v>0</v>
      </c>
      <c r="AC77" s="212" t="n">
        <v>0</v>
      </c>
      <c r="AD77" s="212" t="n">
        <v>0</v>
      </c>
      <c r="AE77" s="212" t="n">
        <v>0</v>
      </c>
      <c r="AF77" s="212" t="n">
        <v>0</v>
      </c>
      <c r="AG77" s="213" t="n">
        <f aca="false">SUM(G77:AA77)</f>
        <v>0</v>
      </c>
    </row>
    <row r="78" customFormat="false" ht="12.75" hidden="false" customHeight="false" outlineLevel="0" collapsed="false">
      <c r="A78" s="29"/>
      <c r="B78" s="30" t="s">
        <v>453</v>
      </c>
      <c r="C78" s="30"/>
      <c r="D78" s="30"/>
      <c r="E78" s="30"/>
      <c r="F78" s="30"/>
      <c r="G78" s="212" t="n">
        <v>0</v>
      </c>
      <c r="H78" s="212" t="n">
        <v>0</v>
      </c>
      <c r="I78" s="212" t="n">
        <v>0</v>
      </c>
      <c r="J78" s="212" t="n">
        <v>0</v>
      </c>
      <c r="K78" s="212" t="n">
        <v>0</v>
      </c>
      <c r="L78" s="212" t="n">
        <v>0</v>
      </c>
      <c r="M78" s="212" t="n">
        <v>0</v>
      </c>
      <c r="N78" s="212" t="n">
        <v>0</v>
      </c>
      <c r="O78" s="212" t="n">
        <v>0</v>
      </c>
      <c r="P78" s="212" t="n">
        <v>0</v>
      </c>
      <c r="Q78" s="212" t="n">
        <v>0</v>
      </c>
      <c r="R78" s="212" t="n">
        <v>0</v>
      </c>
      <c r="S78" s="212" t="n">
        <v>0</v>
      </c>
      <c r="T78" s="212" t="n">
        <v>0</v>
      </c>
      <c r="U78" s="212" t="n">
        <v>0</v>
      </c>
      <c r="V78" s="212" t="n">
        <v>0</v>
      </c>
      <c r="W78" s="212" t="n">
        <v>0</v>
      </c>
      <c r="X78" s="212" t="n">
        <v>0</v>
      </c>
      <c r="Y78" s="212" t="n">
        <v>0</v>
      </c>
      <c r="Z78" s="212" t="n">
        <v>0</v>
      </c>
      <c r="AA78" s="212" t="n">
        <v>0</v>
      </c>
      <c r="AB78" s="212" t="n">
        <v>0</v>
      </c>
      <c r="AC78" s="212" t="n">
        <v>0</v>
      </c>
      <c r="AD78" s="212" t="n">
        <v>0</v>
      </c>
      <c r="AE78" s="212" t="n">
        <v>0</v>
      </c>
      <c r="AF78" s="212" t="n">
        <v>0</v>
      </c>
      <c r="AG78" s="213" t="n">
        <f aca="false">SUM(G78:AA78)</f>
        <v>0</v>
      </c>
    </row>
    <row r="79" customFormat="false" ht="12.75" hidden="false" customHeight="false" outlineLevel="0" collapsed="false">
      <c r="A79" s="29"/>
      <c r="B79" s="30" t="s">
        <v>454</v>
      </c>
      <c r="C79" s="30"/>
      <c r="D79" s="30"/>
      <c r="E79" s="30"/>
      <c r="F79" s="30"/>
      <c r="G79" s="212" t="n">
        <v>0</v>
      </c>
      <c r="H79" s="212" t="n">
        <v>0</v>
      </c>
      <c r="I79" s="212" t="n">
        <v>0</v>
      </c>
      <c r="J79" s="212" t="n">
        <v>0</v>
      </c>
      <c r="K79" s="212" t="n">
        <v>0</v>
      </c>
      <c r="L79" s="212" t="n">
        <v>0</v>
      </c>
      <c r="M79" s="212" t="n">
        <v>0</v>
      </c>
      <c r="N79" s="212" t="n">
        <v>0</v>
      </c>
      <c r="O79" s="212" t="n">
        <v>0</v>
      </c>
      <c r="P79" s="212" t="n">
        <v>0</v>
      </c>
      <c r="Q79" s="212" t="n">
        <v>0</v>
      </c>
      <c r="R79" s="212" t="n">
        <v>0</v>
      </c>
      <c r="S79" s="212" t="n">
        <v>0</v>
      </c>
      <c r="T79" s="212" t="n">
        <v>0</v>
      </c>
      <c r="U79" s="212" t="n">
        <v>0</v>
      </c>
      <c r="V79" s="212" t="n">
        <v>0</v>
      </c>
      <c r="W79" s="212" t="n">
        <v>0</v>
      </c>
      <c r="X79" s="212" t="n">
        <v>0</v>
      </c>
      <c r="Y79" s="212" t="n">
        <v>0</v>
      </c>
      <c r="Z79" s="212" t="n">
        <v>0</v>
      </c>
      <c r="AA79" s="212" t="n">
        <v>0</v>
      </c>
      <c r="AB79" s="212" t="n">
        <v>0</v>
      </c>
      <c r="AC79" s="212" t="n">
        <v>0</v>
      </c>
      <c r="AD79" s="212" t="n">
        <v>0</v>
      </c>
      <c r="AE79" s="212" t="n">
        <v>0</v>
      </c>
      <c r="AF79" s="212" t="n">
        <v>0</v>
      </c>
      <c r="AG79" s="213" t="n">
        <f aca="false">SUM(G79:AA79)</f>
        <v>0</v>
      </c>
    </row>
    <row r="80" customFormat="false" ht="12.75" hidden="false" customHeight="false" outlineLevel="0" collapsed="false">
      <c r="A80" s="29"/>
      <c r="B80" s="30" t="s">
        <v>455</v>
      </c>
      <c r="C80" s="30"/>
      <c r="D80" s="30"/>
      <c r="E80" s="30"/>
      <c r="F80" s="30"/>
      <c r="G80" s="212" t="n">
        <v>0</v>
      </c>
      <c r="H80" s="212" t="n">
        <v>0</v>
      </c>
      <c r="I80" s="212" t="n">
        <v>0</v>
      </c>
      <c r="J80" s="212" t="n">
        <v>0</v>
      </c>
      <c r="K80" s="212" t="n">
        <v>0</v>
      </c>
      <c r="L80" s="212" t="n">
        <v>0</v>
      </c>
      <c r="M80" s="212" t="n">
        <v>0</v>
      </c>
      <c r="N80" s="212" t="n">
        <v>0</v>
      </c>
      <c r="O80" s="212" t="n">
        <v>0</v>
      </c>
      <c r="P80" s="212" t="n">
        <v>0</v>
      </c>
      <c r="Q80" s="212" t="n">
        <v>0</v>
      </c>
      <c r="R80" s="212" t="n">
        <v>0</v>
      </c>
      <c r="S80" s="212" t="n">
        <v>0</v>
      </c>
      <c r="T80" s="212" t="n">
        <v>0</v>
      </c>
      <c r="U80" s="212" t="n">
        <v>0</v>
      </c>
      <c r="V80" s="212" t="n">
        <v>0</v>
      </c>
      <c r="W80" s="212" t="n">
        <v>0</v>
      </c>
      <c r="X80" s="212" t="n">
        <v>0</v>
      </c>
      <c r="Y80" s="212" t="n">
        <v>0</v>
      </c>
      <c r="Z80" s="212" t="n">
        <v>0</v>
      </c>
      <c r="AA80" s="212" t="n">
        <v>0</v>
      </c>
      <c r="AB80" s="212" t="n">
        <v>0</v>
      </c>
      <c r="AC80" s="212" t="n">
        <v>0</v>
      </c>
      <c r="AD80" s="212" t="n">
        <v>0</v>
      </c>
      <c r="AE80" s="212" t="n">
        <v>0</v>
      </c>
      <c r="AF80" s="212" t="n">
        <v>0</v>
      </c>
      <c r="AG80" s="213" t="n">
        <f aca="false">SUM(G80:AA80)</f>
        <v>0</v>
      </c>
    </row>
    <row r="81" customFormat="false" ht="12.75" hidden="false" customHeight="false" outlineLevel="0" collapsed="false">
      <c r="A81" s="29"/>
      <c r="B81" s="30" t="s">
        <v>456</v>
      </c>
      <c r="C81" s="30"/>
      <c r="D81" s="30"/>
      <c r="E81" s="30"/>
      <c r="F81" s="30"/>
      <c r="G81" s="212" t="e">
        <f aca="false">COST*equityperc</f>
        <v>#REF!</v>
      </c>
      <c r="H81" s="212" t="n">
        <v>0</v>
      </c>
      <c r="I81" s="212" t="n">
        <v>0</v>
      </c>
      <c r="J81" s="212" t="n">
        <v>0</v>
      </c>
      <c r="K81" s="212" t="n">
        <v>0</v>
      </c>
      <c r="L81" s="212" t="n">
        <v>0</v>
      </c>
      <c r="M81" s="212" t="n">
        <v>0</v>
      </c>
      <c r="N81" s="212" t="n">
        <v>0</v>
      </c>
      <c r="O81" s="212" t="n">
        <v>0</v>
      </c>
      <c r="P81" s="212" t="n">
        <v>0</v>
      </c>
      <c r="Q81" s="212" t="n">
        <v>0</v>
      </c>
      <c r="R81" s="212" t="n">
        <v>0</v>
      </c>
      <c r="S81" s="212" t="n">
        <v>0</v>
      </c>
      <c r="T81" s="212" t="n">
        <v>0</v>
      </c>
      <c r="U81" s="212" t="n">
        <v>0</v>
      </c>
      <c r="V81" s="212" t="n">
        <v>0</v>
      </c>
      <c r="W81" s="212" t="n">
        <v>0</v>
      </c>
      <c r="X81" s="212" t="n">
        <v>0</v>
      </c>
      <c r="Y81" s="212" t="n">
        <v>0</v>
      </c>
      <c r="Z81" s="212" t="n">
        <v>0</v>
      </c>
      <c r="AA81" s="212" t="n">
        <v>0</v>
      </c>
      <c r="AB81" s="212" t="n">
        <v>0</v>
      </c>
      <c r="AC81" s="212" t="n">
        <v>0</v>
      </c>
      <c r="AD81" s="212" t="n">
        <v>0</v>
      </c>
      <c r="AE81" s="212" t="n">
        <v>0</v>
      </c>
      <c r="AF81" s="212" t="n">
        <v>0</v>
      </c>
      <c r="AG81" s="213" t="e">
        <f aca="false">SUM(G81:AA81)</f>
        <v>#REF!</v>
      </c>
    </row>
    <row r="82" customFormat="false" ht="12.75" hidden="false" customHeight="false" outlineLevel="0" collapsed="false">
      <c r="A82" s="29"/>
      <c r="B82" s="30" t="s">
        <v>406</v>
      </c>
      <c r="C82" s="30"/>
      <c r="D82" s="30"/>
      <c r="E82" s="30"/>
      <c r="F82" s="212"/>
      <c r="G82" s="212" t="e">
        <f aca="false">-(G75+G81-WCAP)</f>
        <v>#REF!</v>
      </c>
      <c r="H82" s="212" t="n">
        <v>0</v>
      </c>
      <c r="I82" s="212" t="n">
        <v>0</v>
      </c>
      <c r="J82" s="212" t="n">
        <v>0</v>
      </c>
      <c r="K82" s="212" t="n">
        <v>0</v>
      </c>
      <c r="L82" s="212" t="n">
        <v>0</v>
      </c>
      <c r="M82" s="212" t="n">
        <v>0</v>
      </c>
      <c r="N82" s="212" t="n">
        <v>0</v>
      </c>
      <c r="O82" s="212" t="n">
        <v>0</v>
      </c>
      <c r="P82" s="212" t="n">
        <v>0</v>
      </c>
      <c r="Q82" s="212" t="n">
        <v>0</v>
      </c>
      <c r="R82" s="212" t="n">
        <v>0</v>
      </c>
      <c r="S82" s="212" t="n">
        <v>0</v>
      </c>
      <c r="T82" s="212" t="n">
        <v>0</v>
      </c>
      <c r="U82" s="212" t="n">
        <v>0</v>
      </c>
      <c r="V82" s="212" t="n">
        <v>0</v>
      </c>
      <c r="W82" s="212" t="n">
        <v>0</v>
      </c>
      <c r="X82" s="212" t="n">
        <v>0</v>
      </c>
      <c r="Y82" s="212" t="n">
        <v>0</v>
      </c>
      <c r="Z82" s="212" t="n">
        <v>0</v>
      </c>
      <c r="AA82" s="212" t="n">
        <v>0</v>
      </c>
      <c r="AB82" s="212" t="n">
        <v>0</v>
      </c>
      <c r="AC82" s="212" t="n">
        <v>0</v>
      </c>
      <c r="AD82" s="212" t="n">
        <v>0</v>
      </c>
      <c r="AE82" s="212" t="n">
        <v>0</v>
      </c>
      <c r="AF82" s="212" t="n">
        <v>0</v>
      </c>
      <c r="AG82" s="213" t="e">
        <f aca="false">SUM(G82:AA82)</f>
        <v>#REF!</v>
      </c>
    </row>
    <row r="83" customFormat="false" ht="12.75" hidden="false" customHeight="false" outlineLevel="0" collapsed="false">
      <c r="A83" s="29"/>
      <c r="B83" s="30" t="s">
        <v>457</v>
      </c>
      <c r="C83" s="30"/>
      <c r="D83" s="30"/>
      <c r="E83" s="30"/>
      <c r="F83" s="30"/>
      <c r="G83" s="212" t="e">
        <f aca="false">-CF!D96</f>
        <v>#REF!</v>
      </c>
      <c r="H83" s="212" t="e">
        <f aca="false">-CF!E96</f>
        <v>#REF!</v>
      </c>
      <c r="I83" s="212" t="e">
        <f aca="false">-CF!F96</f>
        <v>#REF!</v>
      </c>
      <c r="J83" s="212" t="e">
        <f aca="false">-CF!G96</f>
        <v>#REF!</v>
      </c>
      <c r="K83" s="212" t="e">
        <f aca="false">-CF!H96</f>
        <v>#REF!</v>
      </c>
      <c r="L83" s="212" t="e">
        <f aca="false">-CF!I96</f>
        <v>#REF!</v>
      </c>
      <c r="M83" s="212" t="e">
        <f aca="false">-CF!J96</f>
        <v>#REF!</v>
      </c>
      <c r="N83" s="212" t="e">
        <f aca="false">-CF!K96</f>
        <v>#REF!</v>
      </c>
      <c r="O83" s="212" t="e">
        <f aca="false">-CF!L96</f>
        <v>#REF!</v>
      </c>
      <c r="P83" s="212" t="e">
        <f aca="false">-CF!M96</f>
        <v>#REF!</v>
      </c>
      <c r="Q83" s="212" t="e">
        <f aca="false">-CF!N96</f>
        <v>#REF!</v>
      </c>
      <c r="R83" s="212" t="e">
        <f aca="false">-CF!O96</f>
        <v>#REF!</v>
      </c>
      <c r="S83" s="212" t="e">
        <f aca="false">-CF!P96</f>
        <v>#REF!</v>
      </c>
      <c r="T83" s="212" t="e">
        <f aca="false">-CF!Q96</f>
        <v>#REF!</v>
      </c>
      <c r="U83" s="212" t="e">
        <f aca="false">-CF!R96</f>
        <v>#REF!</v>
      </c>
      <c r="V83" s="212" t="e">
        <f aca="false">-CF!S96</f>
        <v>#VALUE!</v>
      </c>
      <c r="W83" s="212" t="e">
        <f aca="false">-CF!T96</f>
        <v>#REF!</v>
      </c>
      <c r="X83" s="212" t="e">
        <f aca="false">-CF!U96</f>
        <v>#REF!</v>
      </c>
      <c r="Y83" s="212" t="e">
        <f aca="false">-CF!V96</f>
        <v>#REF!</v>
      </c>
      <c r="Z83" s="212" t="e">
        <f aca="false">-CF!W96</f>
        <v>#REF!</v>
      </c>
      <c r="AA83" s="212" t="e">
        <f aca="false">-CF!X96</f>
        <v>#REF!</v>
      </c>
      <c r="AB83" s="212" t="e">
        <f aca="false">-CF!Y96</f>
        <v>#REF!</v>
      </c>
      <c r="AC83" s="212" t="e">
        <f aca="false">-CF!Z96</f>
        <v>#REF!</v>
      </c>
      <c r="AD83" s="212" t="e">
        <f aca="false">-CF!AA96</f>
        <v>#REF!</v>
      </c>
      <c r="AE83" s="212" t="e">
        <f aca="false">-CF!AB96</f>
        <v>#REF!</v>
      </c>
      <c r="AF83" s="212" t="e">
        <f aca="false">-CF!AC96</f>
        <v>#REF!</v>
      </c>
      <c r="AG83" s="213" t="e">
        <f aca="false">SUM(G83:AA83)</f>
        <v>#REF!</v>
      </c>
    </row>
    <row r="84" customFormat="false" ht="12.75" hidden="false" customHeight="false" outlineLevel="0" collapsed="false">
      <c r="A84" s="29"/>
      <c r="B84" s="30"/>
      <c r="C84" s="30" t="s">
        <v>458</v>
      </c>
      <c r="D84" s="30"/>
      <c r="E84" s="30"/>
      <c r="F84" s="30"/>
      <c r="G84" s="215" t="e">
        <f aca="false">SUM(G74:G83)</f>
        <v>#REF!</v>
      </c>
      <c r="H84" s="215" t="e">
        <f aca="false">SUM(H74:H83)</f>
        <v>#REF!</v>
      </c>
      <c r="I84" s="215" t="e">
        <f aca="false">SUM(I74:I83)</f>
        <v>#REF!</v>
      </c>
      <c r="J84" s="215" t="e">
        <f aca="false">SUM(J74:J83)</f>
        <v>#REF!</v>
      </c>
      <c r="K84" s="215" t="e">
        <f aca="false">SUM(K74:K83)</f>
        <v>#REF!</v>
      </c>
      <c r="L84" s="215" t="e">
        <f aca="false">SUM(L74:L83)</f>
        <v>#REF!</v>
      </c>
      <c r="M84" s="215" t="e">
        <f aca="false">SUM(M74:M83)</f>
        <v>#REF!</v>
      </c>
      <c r="N84" s="215" t="e">
        <f aca="false">SUM(N74:N83)</f>
        <v>#REF!</v>
      </c>
      <c r="O84" s="215" t="e">
        <f aca="false">SUM(O74:O83)</f>
        <v>#REF!</v>
      </c>
      <c r="P84" s="215" t="e">
        <f aca="false">SUM(P74:P83)</f>
        <v>#REF!</v>
      </c>
      <c r="Q84" s="215" t="e">
        <f aca="false">SUM(Q74:Q83)</f>
        <v>#REF!</v>
      </c>
      <c r="R84" s="215" t="e">
        <f aca="false">SUM(R74:R83)</f>
        <v>#REF!</v>
      </c>
      <c r="S84" s="215" t="e">
        <f aca="false">SUM(S74:S83)</f>
        <v>#REF!</v>
      </c>
      <c r="T84" s="215" t="e">
        <f aca="false">SUM(T74:T83)</f>
        <v>#REF!</v>
      </c>
      <c r="U84" s="215" t="e">
        <f aca="false">SUM(U74:U83)</f>
        <v>#REF!</v>
      </c>
      <c r="V84" s="215" t="e">
        <f aca="false">SUM(V74:V83)</f>
        <v>#VALUE!</v>
      </c>
      <c r="W84" s="215" t="e">
        <f aca="false">SUM(W74:W83)</f>
        <v>#REF!</v>
      </c>
      <c r="X84" s="215" t="e">
        <f aca="false">SUM(X74:X83)</f>
        <v>#REF!</v>
      </c>
      <c r="Y84" s="215" t="e">
        <f aca="false">SUM(Y74:Y83)</f>
        <v>#REF!</v>
      </c>
      <c r="Z84" s="215" t="e">
        <f aca="false">SUM(Z74:Z83)</f>
        <v>#REF!</v>
      </c>
      <c r="AA84" s="215" t="e">
        <f aca="false">SUM(AA74:AA83)</f>
        <v>#REF!</v>
      </c>
      <c r="AB84" s="215" t="e">
        <f aca="false">SUM(AB74:AB83)</f>
        <v>#REF!</v>
      </c>
      <c r="AC84" s="215" t="e">
        <f aca="false">SUM(AC74:AC83)</f>
        <v>#REF!</v>
      </c>
      <c r="AD84" s="215" t="e">
        <f aca="false">SUM(AD74:AD83)</f>
        <v>#REF!</v>
      </c>
      <c r="AE84" s="215" t="e">
        <f aca="false">SUM(AE74:AE83)</f>
        <v>#REF!</v>
      </c>
      <c r="AF84" s="215" t="e">
        <f aca="false">SUM(AF74:AF83)</f>
        <v>#REF!</v>
      </c>
      <c r="AG84" s="429" t="e">
        <f aca="false">SUM(G84:AA84)</f>
        <v>#REF!</v>
      </c>
    </row>
    <row r="85" customFormat="false" ht="12.75" hidden="false" customHeight="false" outlineLevel="0" collapsed="false">
      <c r="A85" s="29"/>
      <c r="B85" s="30"/>
      <c r="C85" s="30"/>
      <c r="D85" s="30"/>
      <c r="E85" s="30"/>
      <c r="F85" s="30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3" t="s">
        <v>1</v>
      </c>
    </row>
    <row r="86" customFormat="false" ht="12.75" hidden="false" customHeight="false" outlineLevel="0" collapsed="false">
      <c r="A86" s="29" t="s">
        <v>459</v>
      </c>
      <c r="B86" s="30"/>
      <c r="C86" s="30"/>
      <c r="D86" s="30"/>
      <c r="E86" s="30"/>
      <c r="F86" s="30"/>
      <c r="G86" s="212" t="e">
        <f aca="false">G71+G84</f>
        <v>#REF!</v>
      </c>
      <c r="H86" s="212" t="e">
        <f aca="false">H71+H84</f>
        <v>#REF!</v>
      </c>
      <c r="I86" s="212" t="e">
        <f aca="false">I71+I84</f>
        <v>#REF!</v>
      </c>
      <c r="J86" s="212" t="e">
        <f aca="false">J71+J84</f>
        <v>#REF!</v>
      </c>
      <c r="K86" s="212" t="e">
        <f aca="false">K71+K84</f>
        <v>#REF!</v>
      </c>
      <c r="L86" s="212" t="e">
        <f aca="false">L71+L84</f>
        <v>#REF!</v>
      </c>
      <c r="M86" s="212" t="e">
        <f aca="false">M71+M84</f>
        <v>#REF!</v>
      </c>
      <c r="N86" s="212" t="e">
        <f aca="false">N71+N84</f>
        <v>#REF!</v>
      </c>
      <c r="O86" s="212" t="e">
        <f aca="false">O71+O84</f>
        <v>#REF!</v>
      </c>
      <c r="P86" s="212" t="e">
        <f aca="false">P71+P84</f>
        <v>#REF!</v>
      </c>
      <c r="Q86" s="212" t="e">
        <f aca="false">Q71+Q84</f>
        <v>#REF!</v>
      </c>
      <c r="R86" s="212" t="e">
        <f aca="false">R71+R84</f>
        <v>#REF!</v>
      </c>
      <c r="S86" s="212" t="e">
        <f aca="false">S71+S84</f>
        <v>#REF!</v>
      </c>
      <c r="T86" s="212" t="e">
        <f aca="false">T71+T84</f>
        <v>#REF!</v>
      </c>
      <c r="U86" s="212" t="e">
        <f aca="false">U71+U84</f>
        <v>#REF!</v>
      </c>
      <c r="V86" s="212" t="e">
        <f aca="false">V71+V84</f>
        <v>#VALUE!</v>
      </c>
      <c r="W86" s="212" t="e">
        <f aca="false">W71+W84</f>
        <v>#REF!</v>
      </c>
      <c r="X86" s="212" t="e">
        <f aca="false">X71+X84</f>
        <v>#REF!</v>
      </c>
      <c r="Y86" s="212" t="e">
        <f aca="false">Y71+Y84</f>
        <v>#REF!</v>
      </c>
      <c r="Z86" s="212" t="e">
        <f aca="false">Z71+Z84</f>
        <v>#REF!</v>
      </c>
      <c r="AA86" s="212" t="e">
        <f aca="false">AA71+AA84</f>
        <v>#REF!</v>
      </c>
      <c r="AB86" s="212" t="e">
        <f aca="false">AB71+AB84</f>
        <v>#REF!</v>
      </c>
      <c r="AC86" s="212" t="e">
        <f aca="false">AC71+AC84</f>
        <v>#REF!</v>
      </c>
      <c r="AD86" s="212" t="e">
        <f aca="false">AD71+AD84</f>
        <v>#REF!</v>
      </c>
      <c r="AE86" s="212" t="e">
        <f aca="false">AE71+AE84</f>
        <v>#REF!</v>
      </c>
      <c r="AF86" s="212" t="e">
        <f aca="false">AF71+AF84</f>
        <v>#REF!</v>
      </c>
      <c r="AG86" s="213" t="e">
        <f aca="false">SUM(G86:AF86)</f>
        <v>#REF!</v>
      </c>
    </row>
    <row r="87" customFormat="false" ht="12.75" hidden="false" customHeight="false" outlineLevel="0" collapsed="false">
      <c r="A87" s="29"/>
      <c r="B87" s="30"/>
      <c r="C87" s="30"/>
      <c r="D87" s="30"/>
      <c r="E87" s="30"/>
      <c r="F87" s="30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3" t="s">
        <v>1</v>
      </c>
    </row>
    <row r="88" customFormat="false" ht="12.75" hidden="false" customHeight="false" outlineLevel="0" collapsed="false">
      <c r="A88" s="29" t="s">
        <v>460</v>
      </c>
      <c r="B88" s="30"/>
      <c r="C88" s="30"/>
      <c r="D88" s="30"/>
      <c r="E88" s="30"/>
      <c r="F88" s="30"/>
      <c r="G88" s="212" t="n">
        <v>0</v>
      </c>
      <c r="H88" s="212" t="e">
        <f aca="false">G90</f>
        <v>#REF!</v>
      </c>
      <c r="I88" s="212" t="e">
        <f aca="false">H90</f>
        <v>#REF!</v>
      </c>
      <c r="J88" s="212" t="e">
        <f aca="false">I90</f>
        <v>#REF!</v>
      </c>
      <c r="K88" s="212" t="e">
        <f aca="false">J90</f>
        <v>#REF!</v>
      </c>
      <c r="L88" s="212" t="e">
        <f aca="false">K90</f>
        <v>#REF!</v>
      </c>
      <c r="M88" s="212" t="e">
        <f aca="false">L90</f>
        <v>#REF!</v>
      </c>
      <c r="N88" s="212" t="e">
        <f aca="false">M90</f>
        <v>#REF!</v>
      </c>
      <c r="O88" s="212" t="e">
        <f aca="false">N90</f>
        <v>#REF!</v>
      </c>
      <c r="P88" s="212" t="e">
        <f aca="false">O90</f>
        <v>#REF!</v>
      </c>
      <c r="Q88" s="212" t="e">
        <f aca="false">P90</f>
        <v>#REF!</v>
      </c>
      <c r="R88" s="212" t="e">
        <f aca="false">Q90</f>
        <v>#REF!</v>
      </c>
      <c r="S88" s="212" t="e">
        <f aca="false">R90</f>
        <v>#REF!</v>
      </c>
      <c r="T88" s="212" t="e">
        <f aca="false">S90</f>
        <v>#REF!</v>
      </c>
      <c r="U88" s="212" t="e">
        <f aca="false">T90</f>
        <v>#REF!</v>
      </c>
      <c r="V88" s="212" t="e">
        <f aca="false">U90</f>
        <v>#REF!</v>
      </c>
      <c r="W88" s="212" t="e">
        <f aca="false">V90</f>
        <v>#REF!</v>
      </c>
      <c r="X88" s="212" t="e">
        <f aca="false">W90</f>
        <v>#REF!</v>
      </c>
      <c r="Y88" s="212" t="e">
        <f aca="false">X90</f>
        <v>#REF!</v>
      </c>
      <c r="Z88" s="212" t="e">
        <f aca="false">Y90</f>
        <v>#REF!</v>
      </c>
      <c r="AA88" s="212" t="e">
        <f aca="false">Z90</f>
        <v>#REF!</v>
      </c>
      <c r="AB88" s="212" t="e">
        <f aca="false">AA90</f>
        <v>#REF!</v>
      </c>
      <c r="AC88" s="212" t="e">
        <f aca="false">AB90</f>
        <v>#REF!</v>
      </c>
      <c r="AD88" s="212" t="e">
        <f aca="false">AC90</f>
        <v>#REF!</v>
      </c>
      <c r="AE88" s="212" t="e">
        <f aca="false">AD90</f>
        <v>#REF!</v>
      </c>
      <c r="AF88" s="212" t="e">
        <f aca="false">AE90</f>
        <v>#REF!</v>
      </c>
      <c r="AG88" s="213" t="e">
        <f aca="false">SUM(G88:AF88)</f>
        <v>#REF!</v>
      </c>
    </row>
    <row r="89" customFormat="false" ht="12.75" hidden="false" customHeight="false" outlineLevel="0" collapsed="false">
      <c r="A89" s="29"/>
      <c r="B89" s="30"/>
      <c r="C89" s="30"/>
      <c r="D89" s="30"/>
      <c r="E89" s="30"/>
      <c r="F89" s="30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3" t="s">
        <v>1</v>
      </c>
    </row>
    <row r="90" customFormat="false" ht="12.75" hidden="false" customHeight="false" outlineLevel="0" collapsed="false">
      <c r="A90" s="57" t="s">
        <v>461</v>
      </c>
      <c r="B90" s="58"/>
      <c r="C90" s="58"/>
      <c r="D90" s="58"/>
      <c r="E90" s="58"/>
      <c r="F90" s="58"/>
      <c r="G90" s="303" t="e">
        <f aca="false">G86+G88</f>
        <v>#REF!</v>
      </c>
      <c r="H90" s="303" t="e">
        <f aca="false">H86+H88</f>
        <v>#REF!</v>
      </c>
      <c r="I90" s="303" t="e">
        <f aca="false">I86+I88</f>
        <v>#REF!</v>
      </c>
      <c r="J90" s="303" t="e">
        <f aca="false">J86+J88</f>
        <v>#REF!</v>
      </c>
      <c r="K90" s="303" t="e">
        <f aca="false">K86+K88</f>
        <v>#REF!</v>
      </c>
      <c r="L90" s="303" t="e">
        <f aca="false">L86+L88</f>
        <v>#REF!</v>
      </c>
      <c r="M90" s="303" t="e">
        <f aca="false">M86+M88</f>
        <v>#REF!</v>
      </c>
      <c r="N90" s="303" t="e">
        <f aca="false">N86+N88</f>
        <v>#REF!</v>
      </c>
      <c r="O90" s="303" t="e">
        <f aca="false">O86+O88</f>
        <v>#REF!</v>
      </c>
      <c r="P90" s="303" t="e">
        <f aca="false">P86+P88</f>
        <v>#REF!</v>
      </c>
      <c r="Q90" s="303" t="e">
        <f aca="false">Q86+Q88</f>
        <v>#REF!</v>
      </c>
      <c r="R90" s="303" t="e">
        <f aca="false">R86+R88</f>
        <v>#REF!</v>
      </c>
      <c r="S90" s="303" t="e">
        <f aca="false">S86+S88</f>
        <v>#REF!</v>
      </c>
      <c r="T90" s="303" t="e">
        <f aca="false">T86+T88</f>
        <v>#REF!</v>
      </c>
      <c r="U90" s="303" t="e">
        <f aca="false">U86+U88</f>
        <v>#REF!</v>
      </c>
      <c r="V90" s="303" t="e">
        <f aca="false">V86+V88</f>
        <v>#REF!</v>
      </c>
      <c r="W90" s="303" t="e">
        <f aca="false">W86+W88</f>
        <v>#REF!</v>
      </c>
      <c r="X90" s="303" t="e">
        <f aca="false">X86+X88</f>
        <v>#REF!</v>
      </c>
      <c r="Y90" s="303" t="e">
        <f aca="false">Y86+Y88</f>
        <v>#REF!</v>
      </c>
      <c r="Z90" s="303" t="e">
        <f aca="false">Z86+Z88</f>
        <v>#REF!</v>
      </c>
      <c r="AA90" s="303" t="e">
        <f aca="false">AA86+AA88</f>
        <v>#REF!</v>
      </c>
      <c r="AB90" s="303" t="e">
        <f aca="false">AB86+AB88</f>
        <v>#REF!</v>
      </c>
      <c r="AC90" s="303" t="e">
        <f aca="false">AC86+AC88</f>
        <v>#REF!</v>
      </c>
      <c r="AD90" s="303" t="e">
        <f aca="false">AD86+AD88</f>
        <v>#REF!</v>
      </c>
      <c r="AE90" s="303" t="e">
        <f aca="false">AE86+AE88</f>
        <v>#REF!</v>
      </c>
      <c r="AF90" s="303" t="e">
        <f aca="false">AF86+AF88</f>
        <v>#REF!</v>
      </c>
      <c r="AG90" s="431" t="e">
        <f aca="false">SUM(G90:AF90)</f>
        <v>#REF!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1997-10-01T13:18:53Z</dcterms:created>
  <dc:creator>Rehm, Amanda H</dc:creator>
  <dc:description/>
  <dc:language>en-US</dc:language>
  <cp:lastModifiedBy>cwatts</cp:lastModifiedBy>
  <cp:lastPrinted>1999-10-07T12:10:28Z</cp:lastPrinted>
  <cp:revision>0</cp:revision>
  <dc:subject/>
  <dc:title/>
</cp:coreProperties>
</file>